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80" yWindow="105" windowWidth="23040" windowHeight="10875" tabRatio="704"/>
  </bookViews>
  <sheets>
    <sheet name="朝食" sheetId="4" r:id="rId1"/>
    <sheet name="昼食" sheetId="6" r:id="rId2"/>
    <sheet name="夕食" sheetId="5" r:id="rId3"/>
    <sheet name="粥A" sheetId="2" r:id="rId4"/>
    <sheet name="粥B" sheetId="19" r:id="rId5"/>
    <sheet name="味噌汁A" sheetId="3" r:id="rId6"/>
    <sheet name="味噌汁B" sheetId="20" r:id="rId7"/>
    <sheet name="調理1" sheetId="7" r:id="rId8"/>
    <sheet name="調理2" sheetId="9" r:id="rId9"/>
    <sheet name="調理3" sheetId="21" r:id="rId10"/>
    <sheet name="調理4" sheetId="10" r:id="rId11"/>
    <sheet name="調理5" sheetId="22" r:id="rId12"/>
    <sheet name="調理6" sheetId="11" r:id="rId13"/>
    <sheet name="調理7" sheetId="12" r:id="rId14"/>
    <sheet name="調理8" sheetId="8" r:id="rId15"/>
    <sheet name="調理9" sheetId="17" r:id="rId16"/>
    <sheet name="調理10" sheetId="18" r:id="rId17"/>
    <sheet name="成分表" sheetId="1" r:id="rId18"/>
    <sheet name="集計1" sheetId="23" r:id="rId19"/>
    <sheet name="Sheet1" sheetId="24" r:id="rId20"/>
  </sheets>
  <definedNames>
    <definedName name="_xlnm._FilterDatabase" localSheetId="17" hidden="1">成分表!$B$4:$M$1041</definedName>
    <definedName name="_xlnm._FilterDatabase" localSheetId="15" hidden="1">調理9!#REF!</definedName>
    <definedName name="_xlnm._FilterDatabase" localSheetId="2" hidden="1">夕食!$A$9:$M$78</definedName>
  </definedNames>
  <calcPr calcId="125725"/>
</workbook>
</file>

<file path=xl/calcChain.xml><?xml version="1.0" encoding="utf-8"?>
<calcChain xmlns="http://schemas.openxmlformats.org/spreadsheetml/2006/main">
  <c r="L1227" i="1"/>
  <c r="K1227"/>
  <c r="J1227"/>
  <c r="I1227"/>
  <c r="H1227"/>
  <c r="G1227"/>
  <c r="F1227"/>
  <c r="E1227"/>
  <c r="D1227"/>
  <c r="L1226"/>
  <c r="K1226"/>
  <c r="J1226"/>
  <c r="I1226"/>
  <c r="H1226"/>
  <c r="G1226"/>
  <c r="F1226"/>
  <c r="E1226"/>
  <c r="D1226"/>
  <c r="L1225"/>
  <c r="K1225"/>
  <c r="J1225"/>
  <c r="I1225"/>
  <c r="H1225"/>
  <c r="G1225"/>
  <c r="F1225"/>
  <c r="E1225"/>
  <c r="D1225"/>
  <c r="L1224"/>
  <c r="K1224"/>
  <c r="J1224"/>
  <c r="I1224"/>
  <c r="H1224"/>
  <c r="G1224"/>
  <c r="F1224"/>
  <c r="E1224"/>
  <c r="D1224"/>
  <c r="L1223"/>
  <c r="K1223"/>
  <c r="J1223"/>
  <c r="I1223"/>
  <c r="H1223"/>
  <c r="G1223"/>
  <c r="F1223"/>
  <c r="E1223"/>
  <c r="D1223"/>
  <c r="L1222"/>
  <c r="K1222"/>
  <c r="J1222"/>
  <c r="I1222"/>
  <c r="H1222"/>
  <c r="G1222"/>
  <c r="F1222"/>
  <c r="E1222"/>
  <c r="D1222"/>
  <c r="L1221"/>
  <c r="K1221"/>
  <c r="J1221"/>
  <c r="I1221"/>
  <c r="H1221"/>
  <c r="G1221"/>
  <c r="F1221"/>
  <c r="E1221"/>
  <c r="D1221"/>
  <c r="L1220"/>
  <c r="K1220"/>
  <c r="J1220"/>
  <c r="I1220"/>
  <c r="H1220"/>
  <c r="G1220"/>
  <c r="F1220"/>
  <c r="E1220"/>
  <c r="D1220"/>
  <c r="L1219"/>
  <c r="K1219"/>
  <c r="J1219"/>
  <c r="I1219"/>
  <c r="H1219"/>
  <c r="G1219"/>
  <c r="F1219"/>
  <c r="E1219"/>
  <c r="D1219"/>
  <c r="L1218"/>
  <c r="K1218"/>
  <c r="J1218"/>
  <c r="I1218"/>
  <c r="H1218"/>
  <c r="G1218"/>
  <c r="F1218"/>
  <c r="E1218"/>
  <c r="D1218"/>
  <c r="L1217"/>
  <c r="H1217"/>
  <c r="G1217"/>
  <c r="F1217"/>
  <c r="E1217"/>
  <c r="D1217"/>
  <c r="L1216"/>
  <c r="K1216"/>
  <c r="H1216"/>
  <c r="G1216"/>
  <c r="F1216"/>
  <c r="E1216"/>
  <c r="D1216"/>
  <c r="L1215"/>
  <c r="K1215"/>
  <c r="H1215"/>
  <c r="G1215"/>
  <c r="F1215"/>
  <c r="E1215"/>
  <c r="D1215"/>
  <c r="L1214"/>
  <c r="H1214"/>
  <c r="G1214"/>
  <c r="F1214"/>
  <c r="E1214"/>
  <c r="D1214"/>
  <c r="L1213"/>
  <c r="K1213"/>
  <c r="H1213"/>
  <c r="G1213"/>
  <c r="F1213"/>
  <c r="E1213"/>
  <c r="D1213"/>
  <c r="L1212"/>
  <c r="H1212"/>
  <c r="G1212"/>
  <c r="F1212"/>
  <c r="E1212"/>
  <c r="D1212"/>
  <c r="L1211"/>
  <c r="K1211"/>
  <c r="H1211"/>
  <c r="G1211"/>
  <c r="F1211"/>
  <c r="E1211"/>
  <c r="D1211"/>
  <c r="L1210"/>
  <c r="K1210"/>
  <c r="H1210"/>
  <c r="G1210"/>
  <c r="F1210"/>
  <c r="E1210"/>
  <c r="D1210"/>
  <c r="L1209"/>
  <c r="K1209"/>
  <c r="H1209"/>
  <c r="G1209"/>
  <c r="F1209"/>
  <c r="E1209"/>
  <c r="D1209"/>
  <c r="L1208"/>
  <c r="K1208"/>
  <c r="H1208"/>
  <c r="G1208"/>
  <c r="F1208"/>
  <c r="E1208"/>
  <c r="D1208"/>
  <c r="L1207"/>
  <c r="H1207"/>
  <c r="G1207"/>
  <c r="F1207"/>
  <c r="E1207"/>
  <c r="D1207"/>
  <c r="L1206"/>
  <c r="H1206"/>
  <c r="G1206"/>
  <c r="F1206"/>
  <c r="E1206"/>
  <c r="D1206"/>
  <c r="L1205"/>
  <c r="H1205"/>
  <c r="G1205"/>
  <c r="F1205"/>
  <c r="E1205"/>
  <c r="D1205"/>
  <c r="L1204"/>
  <c r="K1204"/>
  <c r="H1204"/>
  <c r="G1204"/>
  <c r="F1204"/>
  <c r="E1204"/>
  <c r="D1204"/>
  <c r="L1203"/>
  <c r="K1203"/>
  <c r="H1203"/>
  <c r="G1203"/>
  <c r="F1203"/>
  <c r="E1203"/>
  <c r="D1203"/>
  <c r="L1202"/>
  <c r="K1202"/>
  <c r="J1202"/>
  <c r="I1202"/>
  <c r="H1202"/>
  <c r="G1202"/>
  <c r="F1202"/>
  <c r="E1202"/>
  <c r="D1202"/>
  <c r="L1201"/>
  <c r="H1201"/>
  <c r="G1201"/>
  <c r="F1201"/>
  <c r="E1201"/>
  <c r="D1201"/>
  <c r="L1200"/>
  <c r="H1200"/>
  <c r="G1200"/>
  <c r="F1200"/>
  <c r="E1200"/>
  <c r="D1200"/>
  <c r="L1199"/>
  <c r="H1199"/>
  <c r="G1199"/>
  <c r="F1199"/>
  <c r="E1199"/>
  <c r="D1199"/>
  <c r="L1198"/>
  <c r="K1198"/>
  <c r="H1198"/>
  <c r="G1198"/>
  <c r="F1198"/>
  <c r="E1198"/>
  <c r="D1198"/>
  <c r="L1197"/>
  <c r="K1197"/>
  <c r="H1197"/>
  <c r="G1197"/>
  <c r="F1197"/>
  <c r="E1197"/>
  <c r="D1197"/>
  <c r="L1196"/>
  <c r="K1196"/>
  <c r="H1196"/>
  <c r="G1196"/>
  <c r="F1196"/>
  <c r="E1196"/>
  <c r="D1196"/>
  <c r="L1195"/>
  <c r="K1195"/>
  <c r="H1195"/>
  <c r="G1195"/>
  <c r="F1195"/>
  <c r="E1195"/>
  <c r="D1195"/>
  <c r="L1194"/>
  <c r="K1194"/>
  <c r="H1194"/>
  <c r="G1194"/>
  <c r="F1194"/>
  <c r="E1194"/>
  <c r="D1194"/>
  <c r="L1193"/>
  <c r="K1193"/>
  <c r="H1193"/>
  <c r="G1193"/>
  <c r="F1193"/>
  <c r="E1193"/>
  <c r="D1193"/>
  <c r="K1045"/>
  <c r="L77" i="6"/>
  <c r="K77"/>
  <c r="H77"/>
  <c r="G77"/>
  <c r="F77"/>
  <c r="E77"/>
  <c r="D77"/>
  <c r="AB5" i="5"/>
  <c r="T5"/>
  <c r="AB3"/>
  <c r="L24" i="3"/>
  <c r="H24"/>
  <c r="G24"/>
  <c r="F24"/>
  <c r="E24"/>
  <c r="D24"/>
  <c r="L23"/>
  <c r="H23"/>
  <c r="G23"/>
  <c r="F23"/>
  <c r="E23"/>
  <c r="D23"/>
  <c r="L19"/>
  <c r="K19"/>
  <c r="J19"/>
  <c r="I19"/>
  <c r="H19"/>
  <c r="G19"/>
  <c r="F19"/>
  <c r="E19"/>
  <c r="D19"/>
  <c r="L18"/>
  <c r="K18"/>
  <c r="H18"/>
  <c r="G18"/>
  <c r="F18"/>
  <c r="E18"/>
  <c r="D18"/>
  <c r="H20"/>
  <c r="G20"/>
  <c r="F20"/>
  <c r="E20"/>
  <c r="D20"/>
  <c r="L34"/>
  <c r="K34"/>
  <c r="J34"/>
  <c r="I34"/>
  <c r="H34"/>
  <c r="G34"/>
  <c r="F34"/>
  <c r="E34"/>
  <c r="D34"/>
  <c r="L33"/>
  <c r="K33"/>
  <c r="H33"/>
  <c r="G33"/>
  <c r="F33"/>
  <c r="E33"/>
  <c r="D33"/>
  <c r="H17"/>
  <c r="G17"/>
  <c r="F17"/>
  <c r="E17"/>
  <c r="D17"/>
  <c r="H16"/>
  <c r="G16"/>
  <c r="F16"/>
  <c r="E16"/>
  <c r="D16"/>
  <c r="L12"/>
  <c r="K12"/>
  <c r="J12"/>
  <c r="I12"/>
  <c r="H12"/>
  <c r="G12"/>
  <c r="F12"/>
  <c r="E12"/>
  <c r="D12"/>
  <c r="L15"/>
  <c r="K15"/>
  <c r="H15"/>
  <c r="G15"/>
  <c r="F15"/>
  <c r="E15"/>
  <c r="D15"/>
  <c r="L43"/>
  <c r="K43"/>
  <c r="J43"/>
  <c r="I43"/>
  <c r="H43"/>
  <c r="G43"/>
  <c r="F43"/>
  <c r="E43"/>
  <c r="D43"/>
  <c r="L42"/>
  <c r="K42"/>
  <c r="J42"/>
  <c r="I42"/>
  <c r="H42"/>
  <c r="G42"/>
  <c r="F42"/>
  <c r="E42"/>
  <c r="D42"/>
  <c r="L36"/>
  <c r="K36"/>
  <c r="J36"/>
  <c r="I36"/>
  <c r="H36"/>
  <c r="G36"/>
  <c r="F36"/>
  <c r="E36"/>
  <c r="D36"/>
  <c r="F1192" i="1"/>
  <c r="E1192"/>
  <c r="D1192"/>
  <c r="B13" i="5"/>
  <c r="L55"/>
  <c r="H55"/>
  <c r="G55"/>
  <c r="F55"/>
  <c r="E55"/>
  <c r="D55"/>
  <c r="L335" i="1"/>
  <c r="H335"/>
  <c r="G335"/>
  <c r="F335"/>
  <c r="E335"/>
  <c r="D335"/>
  <c r="L17" i="18" l="1"/>
  <c r="H17"/>
  <c r="G17"/>
  <c r="F17"/>
  <c r="E17"/>
  <c r="D17"/>
  <c r="L16"/>
  <c r="H16"/>
  <c r="G16"/>
  <c r="F16"/>
  <c r="E16"/>
  <c r="D16"/>
  <c r="H15"/>
  <c r="G15"/>
  <c r="F15"/>
  <c r="E15"/>
  <c r="D15"/>
  <c r="L14"/>
  <c r="K14"/>
  <c r="J14"/>
  <c r="I14"/>
  <c r="H14"/>
  <c r="G14"/>
  <c r="F14"/>
  <c r="E14"/>
  <c r="D14"/>
  <c r="L13"/>
  <c r="H13"/>
  <c r="G13"/>
  <c r="F13"/>
  <c r="E13"/>
  <c r="D13"/>
  <c r="L12"/>
  <c r="K12"/>
  <c r="J12"/>
  <c r="I12"/>
  <c r="H12"/>
  <c r="G12"/>
  <c r="F12"/>
  <c r="E12"/>
  <c r="D12"/>
  <c r="L42"/>
  <c r="K42"/>
  <c r="J42"/>
  <c r="I42"/>
  <c r="H42"/>
  <c r="G42"/>
  <c r="F42"/>
  <c r="E42"/>
  <c r="D42"/>
  <c r="L35"/>
  <c r="H35"/>
  <c r="G35"/>
  <c r="F35"/>
  <c r="E35"/>
  <c r="D35"/>
  <c r="L32"/>
  <c r="H32"/>
  <c r="G32"/>
  <c r="F32"/>
  <c r="E32"/>
  <c r="D32"/>
  <c r="L19"/>
  <c r="K19"/>
  <c r="J19"/>
  <c r="I19"/>
  <c r="H19"/>
  <c r="G19"/>
  <c r="F19"/>
  <c r="E19"/>
  <c r="D19"/>
  <c r="L18"/>
  <c r="K18"/>
  <c r="J18"/>
  <c r="I18"/>
  <c r="H18"/>
  <c r="G18"/>
  <c r="F18"/>
  <c r="E18"/>
  <c r="D18"/>
  <c r="L76" i="5"/>
  <c r="K76"/>
  <c r="H76"/>
  <c r="G76"/>
  <c r="F76"/>
  <c r="E76"/>
  <c r="D76"/>
  <c r="L53"/>
  <c r="K53"/>
  <c r="H53"/>
  <c r="G53"/>
  <c r="F53"/>
  <c r="E53"/>
  <c r="D53"/>
  <c r="L74" i="6"/>
  <c r="K74"/>
  <c r="J74"/>
  <c r="I74"/>
  <c r="H74"/>
  <c r="G74"/>
  <c r="F74"/>
  <c r="E74"/>
  <c r="D74"/>
  <c r="L77" i="4"/>
  <c r="K77"/>
  <c r="H77"/>
  <c r="G77"/>
  <c r="F77"/>
  <c r="E77"/>
  <c r="D77"/>
  <c r="L1002" i="1"/>
  <c r="K1002"/>
  <c r="H1002"/>
  <c r="G1002"/>
  <c r="F1002"/>
  <c r="E1002"/>
  <c r="D1002"/>
  <c r="H713"/>
  <c r="G713"/>
  <c r="L713"/>
  <c r="K713"/>
  <c r="F713"/>
  <c r="E713"/>
  <c r="D713"/>
  <c r="L76" i="4"/>
  <c r="K76"/>
  <c r="J76"/>
  <c r="I76"/>
  <c r="H76"/>
  <c r="G76"/>
  <c r="F76"/>
  <c r="E76"/>
  <c r="D76"/>
  <c r="L71" i="5"/>
  <c r="K71"/>
  <c r="H71"/>
  <c r="G71"/>
  <c r="F71"/>
  <c r="E71"/>
  <c r="D71"/>
  <c r="L17" i="17"/>
  <c r="H17"/>
  <c r="G17"/>
  <c r="F17"/>
  <c r="E17"/>
  <c r="D17"/>
  <c r="L14"/>
  <c r="K14"/>
  <c r="J14"/>
  <c r="I14"/>
  <c r="H14"/>
  <c r="G14"/>
  <c r="F14"/>
  <c r="E14"/>
  <c r="D14"/>
  <c r="L13"/>
  <c r="H13"/>
  <c r="G13"/>
  <c r="F13"/>
  <c r="E13"/>
  <c r="D13"/>
  <c r="L31"/>
  <c r="K31"/>
  <c r="H31"/>
  <c r="G31"/>
  <c r="F31"/>
  <c r="E31"/>
  <c r="D31"/>
  <c r="L30"/>
  <c r="K30"/>
  <c r="J30"/>
  <c r="I30"/>
  <c r="H30"/>
  <c r="G30"/>
  <c r="F30"/>
  <c r="E30"/>
  <c r="D30"/>
  <c r="L12"/>
  <c r="K12"/>
  <c r="J12"/>
  <c r="I12"/>
  <c r="H12"/>
  <c r="G12"/>
  <c r="F12"/>
  <c r="E12"/>
  <c r="D12"/>
  <c r="L16"/>
  <c r="H16"/>
  <c r="G16"/>
  <c r="F16"/>
  <c r="E16"/>
  <c r="D16"/>
  <c r="H15"/>
  <c r="G15"/>
  <c r="F15"/>
  <c r="E15"/>
  <c r="D15"/>
  <c r="L41"/>
  <c r="K41"/>
  <c r="J41"/>
  <c r="I41"/>
  <c r="H41"/>
  <c r="G41"/>
  <c r="F41"/>
  <c r="E41"/>
  <c r="D41"/>
  <c r="L40"/>
  <c r="H40"/>
  <c r="G40"/>
  <c r="F40"/>
  <c r="E40"/>
  <c r="D40"/>
  <c r="L39"/>
  <c r="K39"/>
  <c r="H39"/>
  <c r="G39"/>
  <c r="F39"/>
  <c r="E39"/>
  <c r="D39"/>
  <c r="L78" i="6"/>
  <c r="K78"/>
  <c r="J78"/>
  <c r="I78"/>
  <c r="H78"/>
  <c r="G78"/>
  <c r="F78"/>
  <c r="E78"/>
  <c r="D78"/>
  <c r="L78" i="5"/>
  <c r="K78"/>
  <c r="H78"/>
  <c r="G78"/>
  <c r="F78"/>
  <c r="E78"/>
  <c r="D78"/>
  <c r="L13" i="9"/>
  <c r="K13"/>
  <c r="J13"/>
  <c r="I13"/>
  <c r="H13"/>
  <c r="G13"/>
  <c r="F13"/>
  <c r="E13"/>
  <c r="D13"/>
  <c r="L12"/>
  <c r="K12"/>
  <c r="H12"/>
  <c r="G12"/>
  <c r="F12"/>
  <c r="E12"/>
  <c r="D12"/>
  <c r="L35"/>
  <c r="H35"/>
  <c r="G35"/>
  <c r="F35"/>
  <c r="E35"/>
  <c r="D35"/>
  <c r="L33"/>
  <c r="K33"/>
  <c r="J33"/>
  <c r="I33"/>
  <c r="H33"/>
  <c r="G33"/>
  <c r="F33"/>
  <c r="E33"/>
  <c r="D33"/>
  <c r="L59" i="6"/>
  <c r="K59"/>
  <c r="J59"/>
  <c r="I59"/>
  <c r="H59"/>
  <c r="G59"/>
  <c r="F59"/>
  <c r="E59"/>
  <c r="D59"/>
  <c r="L58"/>
  <c r="K58"/>
  <c r="J58"/>
  <c r="I58"/>
  <c r="H58"/>
  <c r="G58"/>
  <c r="F58"/>
  <c r="E58"/>
  <c r="D58"/>
  <c r="L13" i="7" l="1"/>
  <c r="K13"/>
  <c r="J13"/>
  <c r="I13"/>
  <c r="H13"/>
  <c r="G13"/>
  <c r="F13"/>
  <c r="E13"/>
  <c r="D13"/>
  <c r="L12"/>
  <c r="K12"/>
  <c r="H12"/>
  <c r="G12"/>
  <c r="F12"/>
  <c r="E12"/>
  <c r="D12"/>
  <c r="L34"/>
  <c r="H34"/>
  <c r="G34"/>
  <c r="F34"/>
  <c r="E34"/>
  <c r="D34"/>
  <c r="L33"/>
  <c r="K33"/>
  <c r="J33"/>
  <c r="I33"/>
  <c r="H33"/>
  <c r="G33"/>
  <c r="F33"/>
  <c r="E33"/>
  <c r="D33"/>
  <c r="L41" i="3" l="1"/>
  <c r="H41"/>
  <c r="G41"/>
  <c r="F41"/>
  <c r="E41"/>
  <c r="D41"/>
  <c r="L39" i="4"/>
  <c r="H39"/>
  <c r="G39"/>
  <c r="F39"/>
  <c r="E39"/>
  <c r="D39"/>
  <c r="L75" i="5"/>
  <c r="K75"/>
  <c r="H75"/>
  <c r="G75"/>
  <c r="F75"/>
  <c r="E75"/>
  <c r="D75"/>
  <c r="L36"/>
  <c r="H36"/>
  <c r="G36"/>
  <c r="F36"/>
  <c r="E36"/>
  <c r="D36"/>
  <c r="L12" i="10"/>
  <c r="H12"/>
  <c r="G12"/>
  <c r="F12"/>
  <c r="E12"/>
  <c r="D12"/>
  <c r="L28"/>
  <c r="K28"/>
  <c r="J28"/>
  <c r="I28"/>
  <c r="H28"/>
  <c r="G28"/>
  <c r="F28"/>
  <c r="E28"/>
  <c r="D28"/>
  <c r="L41" i="20" l="1"/>
  <c r="K41"/>
  <c r="J41"/>
  <c r="I41"/>
  <c r="H41"/>
  <c r="G41"/>
  <c r="F41"/>
  <c r="E41"/>
  <c r="D41"/>
  <c r="L38" i="17"/>
  <c r="H38"/>
  <c r="G38"/>
  <c r="F38"/>
  <c r="E38"/>
  <c r="D38"/>
  <c r="L37"/>
  <c r="K37"/>
  <c r="H37"/>
  <c r="G37"/>
  <c r="F37"/>
  <c r="E37"/>
  <c r="D37"/>
  <c r="L101" i="1"/>
  <c r="G101"/>
  <c r="F101"/>
  <c r="E101"/>
  <c r="D101"/>
  <c r="H1192"/>
  <c r="L1192"/>
  <c r="L16" i="7"/>
  <c r="H16"/>
  <c r="G16"/>
  <c r="F16"/>
  <c r="E16"/>
  <c r="D16"/>
  <c r="L15"/>
  <c r="H15"/>
  <c r="G15"/>
  <c r="F15"/>
  <c r="E15"/>
  <c r="D15"/>
  <c r="H14"/>
  <c r="G14"/>
  <c r="F14"/>
  <c r="E14"/>
  <c r="D14"/>
  <c r="L43"/>
  <c r="H43"/>
  <c r="G43"/>
  <c r="F43"/>
  <c r="E43"/>
  <c r="D43"/>
  <c r="L42"/>
  <c r="H42"/>
  <c r="G42"/>
  <c r="F42"/>
  <c r="E42"/>
  <c r="D42"/>
  <c r="L41"/>
  <c r="H41"/>
  <c r="G41"/>
  <c r="F41"/>
  <c r="E41"/>
  <c r="D41"/>
  <c r="L40"/>
  <c r="K40"/>
  <c r="H40"/>
  <c r="G40"/>
  <c r="F40"/>
  <c r="E40"/>
  <c r="D40"/>
  <c r="L39"/>
  <c r="K39"/>
  <c r="H39"/>
  <c r="G39"/>
  <c r="F39"/>
  <c r="E39"/>
  <c r="D39"/>
  <c r="L38"/>
  <c r="K38"/>
  <c r="H38"/>
  <c r="G38"/>
  <c r="F38"/>
  <c r="E38"/>
  <c r="D38"/>
  <c r="L77" i="5"/>
  <c r="K77"/>
  <c r="J77"/>
  <c r="I77"/>
  <c r="H77"/>
  <c r="G77"/>
  <c r="F77"/>
  <c r="E77"/>
  <c r="D77"/>
  <c r="L15" i="22" l="1"/>
  <c r="K15"/>
  <c r="J15"/>
  <c r="I15"/>
  <c r="H15"/>
  <c r="G15"/>
  <c r="F15"/>
  <c r="E15"/>
  <c r="D15"/>
  <c r="L31"/>
  <c r="H31"/>
  <c r="G31"/>
  <c r="F31"/>
  <c r="E31"/>
  <c r="D31"/>
  <c r="L16"/>
  <c r="H16"/>
  <c r="G16"/>
  <c r="F16"/>
  <c r="E16"/>
  <c r="D16"/>
  <c r="L73" i="6"/>
  <c r="K73"/>
  <c r="J73"/>
  <c r="I73"/>
  <c r="H73"/>
  <c r="G73"/>
  <c r="F73"/>
  <c r="E73"/>
  <c r="D73"/>
  <c r="L76"/>
  <c r="H76"/>
  <c r="G76"/>
  <c r="F76"/>
  <c r="E76"/>
  <c r="D76"/>
  <c r="L73" i="5"/>
  <c r="K73"/>
  <c r="H73"/>
  <c r="G73"/>
  <c r="F73"/>
  <c r="E73"/>
  <c r="D73"/>
  <c r="L74" l="1"/>
  <c r="K74"/>
  <c r="J74"/>
  <c r="I74"/>
  <c r="H74"/>
  <c r="G74"/>
  <c r="F74"/>
  <c r="E74"/>
  <c r="D74"/>
  <c r="L18" i="9" l="1"/>
  <c r="H18"/>
  <c r="G18"/>
  <c r="F18"/>
  <c r="E18"/>
  <c r="D18"/>
  <c r="L17"/>
  <c r="H17"/>
  <c r="G17"/>
  <c r="F17"/>
  <c r="E17"/>
  <c r="D17"/>
  <c r="L16"/>
  <c r="K16"/>
  <c r="J16"/>
  <c r="I16"/>
  <c r="H16"/>
  <c r="G16"/>
  <c r="F16"/>
  <c r="E16"/>
  <c r="D16"/>
  <c r="L27"/>
  <c r="K27"/>
  <c r="J27"/>
  <c r="I27"/>
  <c r="H27"/>
  <c r="G27"/>
  <c r="F27"/>
  <c r="E27"/>
  <c r="D27"/>
  <c r="H14"/>
  <c r="G14"/>
  <c r="F14"/>
  <c r="E14"/>
  <c r="D14"/>
  <c r="L29"/>
  <c r="H29"/>
  <c r="G29"/>
  <c r="F29"/>
  <c r="E29"/>
  <c r="D29"/>
  <c r="L21"/>
  <c r="H21"/>
  <c r="G21"/>
  <c r="F21"/>
  <c r="E21"/>
  <c r="D21"/>
  <c r="L41"/>
  <c r="K41"/>
  <c r="H41"/>
  <c r="G41"/>
  <c r="F41"/>
  <c r="E41"/>
  <c r="D41"/>
  <c r="L40"/>
  <c r="H40"/>
  <c r="G40"/>
  <c r="F40"/>
  <c r="E40"/>
  <c r="D40"/>
  <c r="L39"/>
  <c r="H39"/>
  <c r="G39"/>
  <c r="F39"/>
  <c r="E39"/>
  <c r="D39"/>
  <c r="L770" i="1"/>
  <c r="G770"/>
  <c r="E770"/>
  <c r="D770"/>
  <c r="L425"/>
  <c r="G425"/>
  <c r="F425"/>
  <c r="E425"/>
  <c r="D425"/>
  <c r="L803"/>
  <c r="H803"/>
  <c r="G803"/>
  <c r="F803"/>
  <c r="E803"/>
  <c r="D803"/>
  <c r="L802"/>
  <c r="K802"/>
  <c r="H802"/>
  <c r="G802"/>
  <c r="F802"/>
  <c r="E802"/>
  <c r="D802"/>
  <c r="L75" i="4"/>
  <c r="K75"/>
  <c r="H75"/>
  <c r="G75"/>
  <c r="F75"/>
  <c r="E75"/>
  <c r="D75"/>
  <c r="E167" i="1"/>
  <c r="D167"/>
  <c r="L167"/>
  <c r="K167"/>
  <c r="H167"/>
  <c r="G167"/>
  <c r="F167"/>
  <c r="L68" i="5"/>
  <c r="K68"/>
  <c r="H68"/>
  <c r="G68"/>
  <c r="F68"/>
  <c r="E68"/>
  <c r="D68"/>
  <c r="L68" i="6"/>
  <c r="K68"/>
  <c r="H68"/>
  <c r="G68"/>
  <c r="F68"/>
  <c r="E68"/>
  <c r="D68"/>
  <c r="L69" i="4"/>
  <c r="K69"/>
  <c r="H69"/>
  <c r="G69"/>
  <c r="F69"/>
  <c r="E69"/>
  <c r="D69"/>
  <c r="L1045" i="1"/>
  <c r="G1045"/>
  <c r="F1045"/>
  <c r="E1045"/>
  <c r="D1045"/>
  <c r="L54" i="6"/>
  <c r="K54"/>
  <c r="J54"/>
  <c r="I54"/>
  <c r="H54"/>
  <c r="G54"/>
  <c r="F54"/>
  <c r="E54"/>
  <c r="D54"/>
  <c r="L70" i="4"/>
  <c r="K70"/>
  <c r="J70"/>
  <c r="I70"/>
  <c r="H70"/>
  <c r="G70"/>
  <c r="F70"/>
  <c r="E70"/>
  <c r="D70"/>
  <c r="L40" i="3"/>
  <c r="K40"/>
  <c r="H40"/>
  <c r="F40"/>
  <c r="E40"/>
  <c r="D40"/>
  <c r="F602" i="1"/>
  <c r="E602"/>
  <c r="D602"/>
  <c r="L40" i="20"/>
  <c r="K40"/>
  <c r="H40"/>
  <c r="G40"/>
  <c r="F40"/>
  <c r="E40"/>
  <c r="D40"/>
  <c r="L39"/>
  <c r="K39"/>
  <c r="J39"/>
  <c r="I39"/>
  <c r="H39"/>
  <c r="G39"/>
  <c r="F39"/>
  <c r="E39"/>
  <c r="D39"/>
  <c r="L40" i="5"/>
  <c r="K40"/>
  <c r="H40"/>
  <c r="G40"/>
  <c r="F40"/>
  <c r="E40"/>
  <c r="D40"/>
  <c r="L37" i="7"/>
  <c r="H37"/>
  <c r="G37"/>
  <c r="F37"/>
  <c r="E37"/>
  <c r="D37"/>
  <c r="L21"/>
  <c r="H21"/>
  <c r="G21"/>
  <c r="F21"/>
  <c r="E21"/>
  <c r="D21"/>
  <c r="L36" i="4"/>
  <c r="H36"/>
  <c r="G36"/>
  <c r="F36"/>
  <c r="E36"/>
  <c r="D36"/>
  <c r="L13" i="8"/>
  <c r="K13"/>
  <c r="H13"/>
  <c r="G13"/>
  <c r="F13"/>
  <c r="E13"/>
  <c r="D13"/>
  <c r="H791" i="1"/>
  <c r="L14" i="8"/>
  <c r="H14"/>
  <c r="G14"/>
  <c r="F14"/>
  <c r="E14"/>
  <c r="D14"/>
  <c r="H722" i="1"/>
  <c r="L18" i="8"/>
  <c r="K18"/>
  <c r="J18"/>
  <c r="I18"/>
  <c r="H18"/>
  <c r="G18"/>
  <c r="F18"/>
  <c r="E18"/>
  <c r="D18"/>
  <c r="L17"/>
  <c r="K17"/>
  <c r="J17"/>
  <c r="I17"/>
  <c r="H17"/>
  <c r="G17"/>
  <c r="F17"/>
  <c r="E17"/>
  <c r="D17"/>
  <c r="L16"/>
  <c r="K16"/>
  <c r="J16"/>
  <c r="I16"/>
  <c r="H16"/>
  <c r="G16"/>
  <c r="F16"/>
  <c r="E16"/>
  <c r="D16"/>
  <c r="L15"/>
  <c r="K15"/>
  <c r="J15"/>
  <c r="I15"/>
  <c r="H15"/>
  <c r="G15"/>
  <c r="F15"/>
  <c r="E15"/>
  <c r="D15"/>
  <c r="L21"/>
  <c r="K21"/>
  <c r="J21"/>
  <c r="I21"/>
  <c r="H21"/>
  <c r="G21"/>
  <c r="F21"/>
  <c r="E21"/>
  <c r="D21"/>
  <c r="L30"/>
  <c r="K30"/>
  <c r="H30"/>
  <c r="G30"/>
  <c r="F30"/>
  <c r="E30"/>
  <c r="D30"/>
  <c r="L12"/>
  <c r="K12"/>
  <c r="H12"/>
  <c r="G12"/>
  <c r="F12"/>
  <c r="E12"/>
  <c r="D12"/>
  <c r="D22"/>
  <c r="E22"/>
  <c r="F22"/>
  <c r="G22"/>
  <c r="H22"/>
  <c r="L22"/>
  <c r="D23"/>
  <c r="E23"/>
  <c r="F23"/>
  <c r="G23"/>
  <c r="H23"/>
  <c r="L23"/>
  <c r="D24"/>
  <c r="E24"/>
  <c r="F24"/>
  <c r="G24"/>
  <c r="H24"/>
  <c r="L24"/>
  <c r="D25"/>
  <c r="E25"/>
  <c r="F25"/>
  <c r="G25"/>
  <c r="H25"/>
  <c r="L25"/>
  <c r="D26"/>
  <c r="E26"/>
  <c r="F26"/>
  <c r="G26"/>
  <c r="H26"/>
  <c r="D27"/>
  <c r="E27"/>
  <c r="F27"/>
  <c r="G27"/>
  <c r="H27"/>
  <c r="I27"/>
  <c r="J27"/>
  <c r="K27"/>
  <c r="L27"/>
  <c r="L43"/>
  <c r="K43"/>
  <c r="H43"/>
  <c r="G43"/>
  <c r="F43"/>
  <c r="E43"/>
  <c r="D43"/>
  <c r="L42"/>
  <c r="H42"/>
  <c r="G42"/>
  <c r="F42"/>
  <c r="E42"/>
  <c r="D42"/>
  <c r="L55" i="6"/>
  <c r="K55"/>
  <c r="H55"/>
  <c r="G55"/>
  <c r="F55"/>
  <c r="E55"/>
  <c r="D55"/>
  <c r="L16" i="21" l="1"/>
  <c r="H16"/>
  <c r="G16"/>
  <c r="F16"/>
  <c r="E16"/>
  <c r="D16"/>
  <c r="L15"/>
  <c r="H15"/>
  <c r="G15"/>
  <c r="F15"/>
  <c r="E15"/>
  <c r="D15"/>
  <c r="L14"/>
  <c r="H14"/>
  <c r="G14"/>
  <c r="F14"/>
  <c r="E14"/>
  <c r="D14"/>
  <c r="L13"/>
  <c r="K13"/>
  <c r="J13"/>
  <c r="I13"/>
  <c r="H13"/>
  <c r="G13"/>
  <c r="F13"/>
  <c r="E13"/>
  <c r="D13"/>
  <c r="L12"/>
  <c r="K12"/>
  <c r="J12"/>
  <c r="I12"/>
  <c r="H12"/>
  <c r="G12"/>
  <c r="F12"/>
  <c r="E12"/>
  <c r="D12"/>
  <c r="H22"/>
  <c r="G22"/>
  <c r="F22"/>
  <c r="E22"/>
  <c r="D22"/>
  <c r="L21"/>
  <c r="K21"/>
  <c r="H21"/>
  <c r="G21"/>
  <c r="F21"/>
  <c r="E21"/>
  <c r="D21"/>
  <c r="L20"/>
  <c r="H20"/>
  <c r="G20"/>
  <c r="F20"/>
  <c r="E20"/>
  <c r="D20"/>
  <c r="L19"/>
  <c r="K19"/>
  <c r="J19"/>
  <c r="I19"/>
  <c r="H19"/>
  <c r="G19"/>
  <c r="F19"/>
  <c r="E19"/>
  <c r="D19"/>
  <c r="L18"/>
  <c r="K18"/>
  <c r="J18"/>
  <c r="I18"/>
  <c r="H18"/>
  <c r="G18"/>
  <c r="F18"/>
  <c r="E18"/>
  <c r="D18"/>
  <c r="H425" i="1"/>
  <c r="F770"/>
  <c r="H770"/>
  <c r="H101"/>
  <c r="K101"/>
  <c r="D237"/>
  <c r="L237"/>
  <c r="G237"/>
  <c r="F237"/>
  <c r="E237"/>
  <c r="H237"/>
  <c r="H602"/>
  <c r="H435"/>
  <c r="L41" i="18"/>
  <c r="K41"/>
  <c r="J41"/>
  <c r="I41"/>
  <c r="H41"/>
  <c r="G41"/>
  <c r="F41"/>
  <c r="E41"/>
  <c r="D41"/>
  <c r="L40"/>
  <c r="K40"/>
  <c r="J40"/>
  <c r="I40"/>
  <c r="H40"/>
  <c r="G40"/>
  <c r="F40"/>
  <c r="E40"/>
  <c r="D40"/>
  <c r="L16" i="10" l="1"/>
  <c r="K16"/>
  <c r="H16"/>
  <c r="G16"/>
  <c r="F16"/>
  <c r="E16"/>
  <c r="D16"/>
  <c r="L15"/>
  <c r="H15"/>
  <c r="G15"/>
  <c r="F15"/>
  <c r="E15"/>
  <c r="D15"/>
  <c r="L20"/>
  <c r="H20"/>
  <c r="G20"/>
  <c r="F20"/>
  <c r="E20"/>
  <c r="D20"/>
  <c r="L17" i="21" l="1"/>
  <c r="K17"/>
  <c r="J17"/>
  <c r="I17"/>
  <c r="H17"/>
  <c r="G17"/>
  <c r="F17"/>
  <c r="E17"/>
  <c r="D17"/>
  <c r="L40"/>
  <c r="K40"/>
  <c r="J40"/>
  <c r="I40"/>
  <c r="H40"/>
  <c r="G40"/>
  <c r="F40"/>
  <c r="E40"/>
  <c r="D40"/>
  <c r="L39"/>
  <c r="K39"/>
  <c r="J39"/>
  <c r="I39"/>
  <c r="H39"/>
  <c r="G39"/>
  <c r="F39"/>
  <c r="E39"/>
  <c r="D39"/>
  <c r="L38"/>
  <c r="H38"/>
  <c r="G38"/>
  <c r="F38"/>
  <c r="E38"/>
  <c r="D38"/>
  <c r="L37"/>
  <c r="K37"/>
  <c r="J37"/>
  <c r="I37"/>
  <c r="H37"/>
  <c r="G37"/>
  <c r="F37"/>
  <c r="E37"/>
  <c r="D37"/>
  <c r="L36"/>
  <c r="H36"/>
  <c r="G36"/>
  <c r="F36"/>
  <c r="E36"/>
  <c r="D36"/>
  <c r="L34"/>
  <c r="H34"/>
  <c r="G34"/>
  <c r="F34"/>
  <c r="E34"/>
  <c r="D34"/>
  <c r="L53" i="6"/>
  <c r="K53"/>
  <c r="H53"/>
  <c r="G53"/>
  <c r="F53"/>
  <c r="E53"/>
  <c r="D53"/>
  <c r="L74" i="4"/>
  <c r="K74"/>
  <c r="H74"/>
  <c r="G74"/>
  <c r="F74"/>
  <c r="E74"/>
  <c r="D74"/>
  <c r="L478" i="1"/>
  <c r="K478"/>
  <c r="G478"/>
  <c r="F478"/>
  <c r="E478"/>
  <c r="D478"/>
  <c r="H478"/>
  <c r="L50" i="5"/>
  <c r="K50"/>
  <c r="J50"/>
  <c r="I50"/>
  <c r="H50"/>
  <c r="G50"/>
  <c r="F50"/>
  <c r="E50"/>
  <c r="D50"/>
  <c r="L54"/>
  <c r="K54"/>
  <c r="J54"/>
  <c r="I54"/>
  <c r="H54"/>
  <c r="G54"/>
  <c r="F54"/>
  <c r="E54"/>
  <c r="D54"/>
  <c r="H39" i="18" l="1"/>
  <c r="G39"/>
  <c r="F39"/>
  <c r="E39"/>
  <c r="D39"/>
  <c r="L38"/>
  <c r="H38"/>
  <c r="G38"/>
  <c r="F38"/>
  <c r="E38"/>
  <c r="D38"/>
  <c r="L36"/>
  <c r="K36"/>
  <c r="J36"/>
  <c r="I36"/>
  <c r="H36"/>
  <c r="G36"/>
  <c r="F36"/>
  <c r="E36"/>
  <c r="D36"/>
  <c r="L34"/>
  <c r="H34"/>
  <c r="G34"/>
  <c r="F34"/>
  <c r="E34"/>
  <c r="D34"/>
  <c r="L33"/>
  <c r="K33"/>
  <c r="J33"/>
  <c r="I33"/>
  <c r="H33"/>
  <c r="G33"/>
  <c r="F33"/>
  <c r="E33"/>
  <c r="D33"/>
  <c r="L951" i="1"/>
  <c r="H951"/>
  <c r="G951"/>
  <c r="F951"/>
  <c r="E951"/>
  <c r="D951"/>
  <c r="L15" i="12"/>
  <c r="H15"/>
  <c r="G15"/>
  <c r="F15"/>
  <c r="E15"/>
  <c r="D15"/>
  <c r="L832" i="1"/>
  <c r="G832"/>
  <c r="F832"/>
  <c r="E832"/>
  <c r="D832"/>
  <c r="L16" i="12"/>
  <c r="H16"/>
  <c r="G16"/>
  <c r="F16"/>
  <c r="E16"/>
  <c r="D16"/>
  <c r="L13"/>
  <c r="K13"/>
  <c r="H13"/>
  <c r="G13"/>
  <c r="F13"/>
  <c r="E13"/>
  <c r="D13"/>
  <c r="L14"/>
  <c r="K14"/>
  <c r="H14"/>
  <c r="G14"/>
  <c r="F14"/>
  <c r="E14"/>
  <c r="D14"/>
  <c r="L29"/>
  <c r="H29"/>
  <c r="G29"/>
  <c r="F29"/>
  <c r="E29"/>
  <c r="D29"/>
  <c r="L28"/>
  <c r="K28"/>
  <c r="J28"/>
  <c r="I28"/>
  <c r="H28"/>
  <c r="G28"/>
  <c r="F28"/>
  <c r="E28"/>
  <c r="D28"/>
  <c r="L12"/>
  <c r="K12"/>
  <c r="J12"/>
  <c r="I12"/>
  <c r="H12"/>
  <c r="G12"/>
  <c r="F12"/>
  <c r="E12"/>
  <c r="D12"/>
  <c r="H38"/>
  <c r="G38"/>
  <c r="F38"/>
  <c r="E38"/>
  <c r="D38"/>
  <c r="L27" i="10"/>
  <c r="K27"/>
  <c r="J27"/>
  <c r="I27"/>
  <c r="H27"/>
  <c r="G27"/>
  <c r="F27"/>
  <c r="E27"/>
  <c r="D27"/>
  <c r="L59" i="4"/>
  <c r="H59"/>
  <c r="G59"/>
  <c r="F59"/>
  <c r="E59"/>
  <c r="D59"/>
  <c r="L285" i="1"/>
  <c r="K285"/>
  <c r="G285"/>
  <c r="F285"/>
  <c r="E285"/>
  <c r="D285"/>
  <c r="L42" i="6"/>
  <c r="K42"/>
  <c r="J42"/>
  <c r="I42"/>
  <c r="H42"/>
  <c r="G42"/>
  <c r="F42"/>
  <c r="E42"/>
  <c r="D42"/>
  <c r="L73" i="4"/>
  <c r="K73"/>
  <c r="J73"/>
  <c r="I73"/>
  <c r="H73"/>
  <c r="G73"/>
  <c r="F73"/>
  <c r="E73"/>
  <c r="D73"/>
  <c r="L72"/>
  <c r="H72"/>
  <c r="G72"/>
  <c r="F72"/>
  <c r="E72"/>
  <c r="D72"/>
  <c r="L71"/>
  <c r="K71"/>
  <c r="H71"/>
  <c r="G71"/>
  <c r="F71"/>
  <c r="E71"/>
  <c r="D71"/>
  <c r="L55"/>
  <c r="K55"/>
  <c r="H55"/>
  <c r="G55"/>
  <c r="F55"/>
  <c r="E55"/>
  <c r="D55"/>
  <c r="L54"/>
  <c r="K54"/>
  <c r="H54"/>
  <c r="G54"/>
  <c r="F54"/>
  <c r="E54"/>
  <c r="D54"/>
  <c r="L53"/>
  <c r="H53"/>
  <c r="G53"/>
  <c r="F53"/>
  <c r="E53"/>
  <c r="D53"/>
  <c r="L52"/>
  <c r="K52"/>
  <c r="J52"/>
  <c r="I52"/>
  <c r="H52"/>
  <c r="G52"/>
  <c r="F52"/>
  <c r="E52"/>
  <c r="D52"/>
  <c r="L51"/>
  <c r="K51"/>
  <c r="J51"/>
  <c r="I51"/>
  <c r="H51"/>
  <c r="G51"/>
  <c r="F51"/>
  <c r="E51"/>
  <c r="D51"/>
  <c r="L50"/>
  <c r="K50"/>
  <c r="J50"/>
  <c r="I50"/>
  <c r="H50"/>
  <c r="G50"/>
  <c r="F50"/>
  <c r="E50"/>
  <c r="D50"/>
  <c r="L49"/>
  <c r="K49"/>
  <c r="J49"/>
  <c r="I49"/>
  <c r="H49"/>
  <c r="G49"/>
  <c r="F49"/>
  <c r="E49"/>
  <c r="D49"/>
  <c r="L48"/>
  <c r="K48"/>
  <c r="J48"/>
  <c r="I48"/>
  <c r="H48"/>
  <c r="G48"/>
  <c r="F48"/>
  <c r="E48"/>
  <c r="D48"/>
  <c r="L47"/>
  <c r="K47"/>
  <c r="J47"/>
  <c r="I47"/>
  <c r="H47"/>
  <c r="G47"/>
  <c r="F47"/>
  <c r="E47"/>
  <c r="D47"/>
  <c r="L46"/>
  <c r="K46"/>
  <c r="J46"/>
  <c r="I46"/>
  <c r="H46"/>
  <c r="G46"/>
  <c r="F46"/>
  <c r="E46"/>
  <c r="D46"/>
  <c r="L45"/>
  <c r="K45"/>
  <c r="J45"/>
  <c r="I45"/>
  <c r="H45"/>
  <c r="G45"/>
  <c r="F45"/>
  <c r="E45"/>
  <c r="D45"/>
  <c r="L44"/>
  <c r="K44"/>
  <c r="J44"/>
  <c r="I44"/>
  <c r="H44"/>
  <c r="G44"/>
  <c r="F44"/>
  <c r="E44"/>
  <c r="D44"/>
  <c r="L43"/>
  <c r="K43"/>
  <c r="J43"/>
  <c r="I43"/>
  <c r="H43"/>
  <c r="G43"/>
  <c r="F43"/>
  <c r="E43"/>
  <c r="D43"/>
  <c r="L42"/>
  <c r="K42"/>
  <c r="J42"/>
  <c r="I42"/>
  <c r="H42"/>
  <c r="G42"/>
  <c r="F42"/>
  <c r="E42"/>
  <c r="D42"/>
  <c r="L41"/>
  <c r="K41"/>
  <c r="J41"/>
  <c r="I41"/>
  <c r="H41"/>
  <c r="G41"/>
  <c r="F41"/>
  <c r="E41"/>
  <c r="D41"/>
  <c r="L40"/>
  <c r="K40"/>
  <c r="J40"/>
  <c r="I40"/>
  <c r="H40"/>
  <c r="G40"/>
  <c r="F40"/>
  <c r="E40"/>
  <c r="D40"/>
  <c r="L58" i="5"/>
  <c r="K58"/>
  <c r="H58"/>
  <c r="G58"/>
  <c r="F58"/>
  <c r="E58"/>
  <c r="D58"/>
  <c r="K846" i="1"/>
  <c r="G846"/>
  <c r="L846"/>
  <c r="H846"/>
  <c r="F846"/>
  <c r="E846"/>
  <c r="D846"/>
  <c r="L66" i="5"/>
  <c r="K66"/>
  <c r="H66"/>
  <c r="G66"/>
  <c r="F66"/>
  <c r="E66"/>
  <c r="D66"/>
  <c r="L66" i="6"/>
  <c r="K66"/>
  <c r="H66"/>
  <c r="G66"/>
  <c r="F66"/>
  <c r="E66"/>
  <c r="D66"/>
  <c r="L67" i="4"/>
  <c r="K67"/>
  <c r="H67"/>
  <c r="G67"/>
  <c r="F67"/>
  <c r="E67"/>
  <c r="D67"/>
  <c r="L367" i="1"/>
  <c r="K367"/>
  <c r="G367"/>
  <c r="F367"/>
  <c r="E367"/>
  <c r="D367"/>
  <c r="H285"/>
  <c r="H832"/>
  <c r="K602"/>
  <c r="L602"/>
  <c r="H1045"/>
  <c r="G350"/>
  <c r="K350"/>
  <c r="L350"/>
  <c r="H350"/>
  <c r="F350"/>
  <c r="E350"/>
  <c r="D350"/>
  <c r="L349"/>
  <c r="G349"/>
  <c r="F349"/>
  <c r="E349"/>
  <c r="D349"/>
  <c r="L1176"/>
  <c r="H1176"/>
  <c r="G1176"/>
  <c r="F1176"/>
  <c r="E1176"/>
  <c r="D1176"/>
  <c r="L1177"/>
  <c r="H1177"/>
  <c r="G1177"/>
  <c r="F1177"/>
  <c r="E1177"/>
  <c r="D1177"/>
  <c r="L32" i="21"/>
  <c r="K32"/>
  <c r="J32"/>
  <c r="I32"/>
  <c r="H32"/>
  <c r="G32"/>
  <c r="F32"/>
  <c r="E32"/>
  <c r="D32"/>
  <c r="L31"/>
  <c r="K31"/>
  <c r="H31"/>
  <c r="G31"/>
  <c r="F31"/>
  <c r="E31"/>
  <c r="D31"/>
  <c r="L30"/>
  <c r="K30"/>
  <c r="H30"/>
  <c r="G30"/>
  <c r="F30"/>
  <c r="E30"/>
  <c r="D30"/>
  <c r="L29"/>
  <c r="K29"/>
  <c r="J29"/>
  <c r="I29"/>
  <c r="H29"/>
  <c r="G29"/>
  <c r="F29"/>
  <c r="E29"/>
  <c r="D29"/>
  <c r="L28"/>
  <c r="H28"/>
  <c r="G28"/>
  <c r="F28"/>
  <c r="E28"/>
  <c r="D28"/>
  <c r="L27"/>
  <c r="K27"/>
  <c r="J27"/>
  <c r="I27"/>
  <c r="H27"/>
  <c r="G27"/>
  <c r="F27"/>
  <c r="E27"/>
  <c r="D27"/>
  <c r="L23" i="9" l="1"/>
  <c r="K23"/>
  <c r="J23"/>
  <c r="I23"/>
  <c r="H23"/>
  <c r="G23"/>
  <c r="F23"/>
  <c r="E23"/>
  <c r="D23"/>
  <c r="L22"/>
  <c r="H22"/>
  <c r="G22"/>
  <c r="F22"/>
  <c r="E22"/>
  <c r="D22"/>
  <c r="L1148" i="1" l="1"/>
  <c r="K1148"/>
  <c r="H1148"/>
  <c r="G1148"/>
  <c r="F1148"/>
  <c r="E1148"/>
  <c r="D1148"/>
  <c r="L19" i="7"/>
  <c r="K19"/>
  <c r="J19"/>
  <c r="I19"/>
  <c r="H19"/>
  <c r="G19"/>
  <c r="F19"/>
  <c r="E19"/>
  <c r="D19"/>
  <c r="L18"/>
  <c r="K18"/>
  <c r="H18"/>
  <c r="G18"/>
  <c r="F18"/>
  <c r="E18"/>
  <c r="D18"/>
  <c r="L37" i="12"/>
  <c r="K37"/>
  <c r="J37"/>
  <c r="I37"/>
  <c r="H37"/>
  <c r="G37"/>
  <c r="F37"/>
  <c r="E37"/>
  <c r="D37"/>
  <c r="L36"/>
  <c r="K36"/>
  <c r="H36"/>
  <c r="G36"/>
  <c r="F36"/>
  <c r="E36"/>
  <c r="D36"/>
  <c r="L35"/>
  <c r="H35"/>
  <c r="G35"/>
  <c r="F35"/>
  <c r="E35"/>
  <c r="D35"/>
  <c r="L34"/>
  <c r="K34"/>
  <c r="J34"/>
  <c r="I34"/>
  <c r="H34"/>
  <c r="G34"/>
  <c r="F34"/>
  <c r="E34"/>
  <c r="D34"/>
  <c r="K33"/>
  <c r="H33"/>
  <c r="G33"/>
  <c r="F33"/>
  <c r="E33"/>
  <c r="D33"/>
  <c r="L32"/>
  <c r="H32"/>
  <c r="G32"/>
  <c r="F32"/>
  <c r="E32"/>
  <c r="D32"/>
  <c r="H31"/>
  <c r="G31"/>
  <c r="F31"/>
  <c r="E31"/>
  <c r="D31"/>
  <c r="N163" i="23" l="1"/>
  <c r="M163"/>
  <c r="L163"/>
  <c r="K163"/>
  <c r="J163"/>
  <c r="I163"/>
  <c r="H163"/>
  <c r="G163"/>
  <c r="F163"/>
  <c r="E163"/>
  <c r="D163"/>
  <c r="L24" i="17"/>
  <c r="K24"/>
  <c r="H24"/>
  <c r="G24"/>
  <c r="F24"/>
  <c r="E24"/>
  <c r="D24"/>
  <c r="L36"/>
  <c r="H36"/>
  <c r="G36"/>
  <c r="F36"/>
  <c r="E36"/>
  <c r="D36"/>
  <c r="L35"/>
  <c r="K35"/>
  <c r="H35"/>
  <c r="G35"/>
  <c r="F35"/>
  <c r="E35"/>
  <c r="D35"/>
  <c r="L75" i="6"/>
  <c r="K75"/>
  <c r="H75"/>
  <c r="G75"/>
  <c r="F75"/>
  <c r="E75"/>
  <c r="D75"/>
  <c r="K155" i="1"/>
  <c r="K157"/>
  <c r="L157"/>
  <c r="H157"/>
  <c r="G157"/>
  <c r="F157"/>
  <c r="E157"/>
  <c r="D157"/>
  <c r="L155"/>
  <c r="H155"/>
  <c r="G155"/>
  <c r="F155"/>
  <c r="E155"/>
  <c r="D155"/>
  <c r="B15" i="4"/>
  <c r="L14" i="22" l="1"/>
  <c r="H14"/>
  <c r="G14"/>
  <c r="F14"/>
  <c r="E14"/>
  <c r="D14"/>
  <c r="L13"/>
  <c r="H13"/>
  <c r="G13"/>
  <c r="F13"/>
  <c r="E13"/>
  <c r="D13"/>
  <c r="L12"/>
  <c r="H12"/>
  <c r="G12"/>
  <c r="F12"/>
  <c r="E12"/>
  <c r="D12"/>
  <c r="L30"/>
  <c r="K30"/>
  <c r="H30"/>
  <c r="G30"/>
  <c r="F30"/>
  <c r="E30"/>
  <c r="D30"/>
  <c r="L29"/>
  <c r="K29"/>
  <c r="J29"/>
  <c r="I29"/>
  <c r="H29"/>
  <c r="G29"/>
  <c r="F29"/>
  <c r="E29"/>
  <c r="D29"/>
  <c r="L28"/>
  <c r="H28"/>
  <c r="G28"/>
  <c r="F28"/>
  <c r="E28"/>
  <c r="D28"/>
  <c r="H27"/>
  <c r="G27"/>
  <c r="F27"/>
  <c r="E27"/>
  <c r="D27"/>
  <c r="L26"/>
  <c r="K26"/>
  <c r="J26"/>
  <c r="I26"/>
  <c r="H26"/>
  <c r="G26"/>
  <c r="F26"/>
  <c r="E26"/>
  <c r="D26"/>
  <c r="L25"/>
  <c r="K25"/>
  <c r="J25"/>
  <c r="I25"/>
  <c r="H25"/>
  <c r="G25"/>
  <c r="F25"/>
  <c r="E25"/>
  <c r="D25"/>
  <c r="L78" i="4"/>
  <c r="K78"/>
  <c r="H78"/>
  <c r="G78"/>
  <c r="F78"/>
  <c r="E78"/>
  <c r="D78"/>
  <c r="K423" i="1"/>
  <c r="K421"/>
  <c r="K419"/>
  <c r="L423"/>
  <c r="H423"/>
  <c r="G423"/>
  <c r="F423"/>
  <c r="E423"/>
  <c r="D423"/>
  <c r="L421"/>
  <c r="H421"/>
  <c r="G421"/>
  <c r="F421"/>
  <c r="E421"/>
  <c r="D421"/>
  <c r="L419"/>
  <c r="H419"/>
  <c r="G419"/>
  <c r="F419"/>
  <c r="E419"/>
  <c r="D419"/>
  <c r="L361"/>
  <c r="G361"/>
  <c r="E361"/>
  <c r="D361"/>
  <c r="H349"/>
  <c r="H367"/>
  <c r="D60" i="4"/>
  <c r="E60"/>
  <c r="F60"/>
  <c r="G60"/>
  <c r="H60"/>
  <c r="K60"/>
  <c r="L60"/>
  <c r="D61"/>
  <c r="E61"/>
  <c r="F61"/>
  <c r="G61"/>
  <c r="H61"/>
  <c r="L61"/>
  <c r="D62"/>
  <c r="E62"/>
  <c r="F62"/>
  <c r="G62"/>
  <c r="H62"/>
  <c r="L62"/>
  <c r="D63"/>
  <c r="E63"/>
  <c r="F63"/>
  <c r="G63"/>
  <c r="H63"/>
  <c r="I63"/>
  <c r="J63"/>
  <c r="K63"/>
  <c r="L63"/>
  <c r="D64"/>
  <c r="E64"/>
  <c r="F64"/>
  <c r="G64"/>
  <c r="H64"/>
  <c r="K64"/>
  <c r="L64"/>
  <c r="L72" i="5"/>
  <c r="K72"/>
  <c r="H72"/>
  <c r="G72"/>
  <c r="F72"/>
  <c r="E72"/>
  <c r="D72"/>
  <c r="L39"/>
  <c r="K39"/>
  <c r="J39"/>
  <c r="I39"/>
  <c r="H39"/>
  <c r="G39"/>
  <c r="F39"/>
  <c r="E39"/>
  <c r="D39"/>
  <c r="L70"/>
  <c r="H70"/>
  <c r="G70"/>
  <c r="F70"/>
  <c r="E70"/>
  <c r="D70"/>
  <c r="L69"/>
  <c r="K69"/>
  <c r="H69"/>
  <c r="G69"/>
  <c r="F69"/>
  <c r="E69"/>
  <c r="D69"/>
  <c r="L67"/>
  <c r="K67"/>
  <c r="H67"/>
  <c r="G67"/>
  <c r="F67"/>
  <c r="E67"/>
  <c r="D67"/>
  <c r="L65"/>
  <c r="K65"/>
  <c r="H65"/>
  <c r="G65"/>
  <c r="F65"/>
  <c r="E65"/>
  <c r="D65"/>
  <c r="L64"/>
  <c r="H64"/>
  <c r="G64"/>
  <c r="F64"/>
  <c r="E64"/>
  <c r="D64"/>
  <c r="L49"/>
  <c r="K49"/>
  <c r="J49"/>
  <c r="I49"/>
  <c r="H49"/>
  <c r="G49"/>
  <c r="F49"/>
  <c r="E49"/>
  <c r="D49"/>
  <c r="L72" i="6"/>
  <c r="K72"/>
  <c r="H72"/>
  <c r="G72"/>
  <c r="F72"/>
  <c r="E72"/>
  <c r="D72"/>
  <c r="L71"/>
  <c r="K71"/>
  <c r="H71"/>
  <c r="G71"/>
  <c r="F71"/>
  <c r="E71"/>
  <c r="D71"/>
  <c r="L70"/>
  <c r="H70"/>
  <c r="G70"/>
  <c r="F70"/>
  <c r="E70"/>
  <c r="D70"/>
  <c r="L69"/>
  <c r="K69"/>
  <c r="H69"/>
  <c r="G69"/>
  <c r="F69"/>
  <c r="E69"/>
  <c r="D69"/>
  <c r="L67"/>
  <c r="K67"/>
  <c r="H67"/>
  <c r="G67"/>
  <c r="F67"/>
  <c r="E67"/>
  <c r="D67"/>
  <c r="L65"/>
  <c r="K65"/>
  <c r="H65"/>
  <c r="G65"/>
  <c r="F65"/>
  <c r="E65"/>
  <c r="D65"/>
  <c r="L64"/>
  <c r="H64"/>
  <c r="G64"/>
  <c r="F64"/>
  <c r="E64"/>
  <c r="D64"/>
  <c r="L39"/>
  <c r="K39"/>
  <c r="H39"/>
  <c r="G39"/>
  <c r="F39"/>
  <c r="E39"/>
  <c r="D39"/>
  <c r="K94" i="1"/>
  <c r="L94"/>
  <c r="H94"/>
  <c r="G94"/>
  <c r="F94"/>
  <c r="E94"/>
  <c r="D94"/>
  <c r="K404"/>
  <c r="J404"/>
  <c r="G404"/>
  <c r="F404"/>
  <c r="E404"/>
  <c r="D404"/>
  <c r="L49" i="6"/>
  <c r="K49"/>
  <c r="J49"/>
  <c r="I49"/>
  <c r="H49"/>
  <c r="G49"/>
  <c r="F49"/>
  <c r="E49"/>
  <c r="D49"/>
  <c r="L928" i="1"/>
  <c r="H928"/>
  <c r="G928"/>
  <c r="F928"/>
  <c r="E928"/>
  <c r="D928"/>
  <c r="L26" i="10" l="1"/>
  <c r="H26"/>
  <c r="G26"/>
  <c r="F26"/>
  <c r="E26"/>
  <c r="D26"/>
  <c r="L22" i="22"/>
  <c r="K22"/>
  <c r="H22"/>
  <c r="G22"/>
  <c r="F22"/>
  <c r="E22"/>
  <c r="D22"/>
  <c r="H146" i="1"/>
  <c r="L24" i="22" l="1"/>
  <c r="H24"/>
  <c r="G24"/>
  <c r="F24"/>
  <c r="E24"/>
  <c r="D24"/>
  <c r="L23"/>
  <c r="K23"/>
  <c r="J23"/>
  <c r="I23"/>
  <c r="H23"/>
  <c r="G23"/>
  <c r="F23"/>
  <c r="E23"/>
  <c r="D23"/>
  <c r="L34" i="17"/>
  <c r="H34"/>
  <c r="G34"/>
  <c r="F34"/>
  <c r="E34"/>
  <c r="D34"/>
  <c r="L21" i="22" l="1"/>
  <c r="H21"/>
  <c r="G21"/>
  <c r="F21"/>
  <c r="E21"/>
  <c r="D21"/>
  <c r="L31" i="18"/>
  <c r="H31"/>
  <c r="G31"/>
  <c r="F31"/>
  <c r="E31"/>
  <c r="D31"/>
  <c r="L30"/>
  <c r="H30"/>
  <c r="G30"/>
  <c r="F30"/>
  <c r="E30"/>
  <c r="D30"/>
  <c r="L29"/>
  <c r="K29"/>
  <c r="J29"/>
  <c r="I29"/>
  <c r="H29"/>
  <c r="G29"/>
  <c r="F29"/>
  <c r="E29"/>
  <c r="D29"/>
  <c r="L30" i="1"/>
  <c r="L20" i="9"/>
  <c r="K20"/>
  <c r="J20"/>
  <c r="I20"/>
  <c r="H20"/>
  <c r="G20"/>
  <c r="F20"/>
  <c r="E20"/>
  <c r="D20"/>
  <c r="K19"/>
  <c r="H19"/>
  <c r="G19"/>
  <c r="F19"/>
  <c r="E19"/>
  <c r="D19"/>
  <c r="L38"/>
  <c r="K38"/>
  <c r="H38"/>
  <c r="G38"/>
  <c r="F38"/>
  <c r="E38"/>
  <c r="D38"/>
  <c r="L37"/>
  <c r="K37"/>
  <c r="J37"/>
  <c r="I37"/>
  <c r="H37"/>
  <c r="G37"/>
  <c r="F37"/>
  <c r="E37"/>
  <c r="D37"/>
  <c r="L36"/>
  <c r="K36"/>
  <c r="J36"/>
  <c r="I36"/>
  <c r="H36"/>
  <c r="G36"/>
  <c r="F36"/>
  <c r="E36"/>
  <c r="D36"/>
  <c r="L34"/>
  <c r="K34"/>
  <c r="H34"/>
  <c r="G34"/>
  <c r="F34"/>
  <c r="E34"/>
  <c r="D34"/>
  <c r="L32"/>
  <c r="H32"/>
  <c r="G32"/>
  <c r="F32"/>
  <c r="E32"/>
  <c r="D32"/>
  <c r="L31"/>
  <c r="H31"/>
  <c r="G31"/>
  <c r="F31"/>
  <c r="E31"/>
  <c r="D31"/>
  <c r="L30"/>
  <c r="K30"/>
  <c r="J30"/>
  <c r="I30"/>
  <c r="H30"/>
  <c r="G30"/>
  <c r="F30"/>
  <c r="E30"/>
  <c r="D30"/>
  <c r="L261" i="1"/>
  <c r="H261"/>
  <c r="G261"/>
  <c r="F261"/>
  <c r="E261"/>
  <c r="D261"/>
  <c r="L24"/>
  <c r="H24"/>
  <c r="G24"/>
  <c r="F24"/>
  <c r="E24"/>
  <c r="D24"/>
  <c r="H404"/>
  <c r="I404"/>
  <c r="L404"/>
  <c r="F361"/>
  <c r="H361"/>
  <c r="L881"/>
  <c r="K881"/>
  <c r="H881"/>
  <c r="G881"/>
  <c r="F881"/>
  <c r="E881"/>
  <c r="D881"/>
  <c r="L63" i="5"/>
  <c r="K63"/>
  <c r="H63"/>
  <c r="G63"/>
  <c r="F63"/>
  <c r="E63"/>
  <c r="D63"/>
  <c r="K63" i="6"/>
  <c r="L994" i="1"/>
  <c r="K994"/>
  <c r="G994"/>
  <c r="F994"/>
  <c r="E994"/>
  <c r="D994"/>
  <c r="K14" i="10"/>
  <c r="H14"/>
  <c r="G14"/>
  <c r="F14"/>
  <c r="E14"/>
  <c r="D14"/>
  <c r="H13"/>
  <c r="G13"/>
  <c r="F13"/>
  <c r="E13"/>
  <c r="D13"/>
  <c r="L24"/>
  <c r="K24"/>
  <c r="J24"/>
  <c r="I24"/>
  <c r="H24"/>
  <c r="G24"/>
  <c r="F24"/>
  <c r="E24"/>
  <c r="D24"/>
  <c r="L23"/>
  <c r="K23"/>
  <c r="J23"/>
  <c r="I23"/>
  <c r="H23"/>
  <c r="G23"/>
  <c r="F23"/>
  <c r="E23"/>
  <c r="D23"/>
  <c r="L22"/>
  <c r="K22"/>
  <c r="J22"/>
  <c r="I22"/>
  <c r="H22"/>
  <c r="G22"/>
  <c r="F22"/>
  <c r="E22"/>
  <c r="D22"/>
  <c r="K336" i="1"/>
  <c r="L336"/>
  <c r="G336"/>
  <c r="F336"/>
  <c r="E336"/>
  <c r="D336"/>
  <c r="L32" i="7"/>
  <c r="H32"/>
  <c r="G32"/>
  <c r="F32"/>
  <c r="E32"/>
  <c r="D32"/>
  <c r="L31"/>
  <c r="K31"/>
  <c r="H31"/>
  <c r="G31"/>
  <c r="F31"/>
  <c r="E31"/>
  <c r="D31"/>
  <c r="L30"/>
  <c r="K30"/>
  <c r="H30"/>
  <c r="G30"/>
  <c r="F30"/>
  <c r="E30"/>
  <c r="D30"/>
  <c r="L29"/>
  <c r="K29"/>
  <c r="H29"/>
  <c r="G29"/>
  <c r="F29"/>
  <c r="E29"/>
  <c r="D29"/>
  <c r="L29" i="17"/>
  <c r="K29"/>
  <c r="J29"/>
  <c r="I29"/>
  <c r="H29"/>
  <c r="G29"/>
  <c r="F29"/>
  <c r="E29"/>
  <c r="D29"/>
  <c r="L28"/>
  <c r="K28"/>
  <c r="J28"/>
  <c r="I28"/>
  <c r="H28"/>
  <c r="G28"/>
  <c r="F28"/>
  <c r="E28"/>
  <c r="D28"/>
  <c r="L645" i="1"/>
  <c r="K645"/>
  <c r="H645"/>
  <c r="G645"/>
  <c r="F645"/>
  <c r="E645"/>
  <c r="D645"/>
  <c r="H30" i="12"/>
  <c r="G30"/>
  <c r="F30"/>
  <c r="E30"/>
  <c r="D30"/>
  <c r="K754" i="1"/>
  <c r="J754"/>
  <c r="I754"/>
  <c r="G754"/>
  <c r="F754"/>
  <c r="E754"/>
  <c r="D754"/>
  <c r="L616"/>
  <c r="K616"/>
  <c r="J616"/>
  <c r="I616"/>
  <c r="H616"/>
  <c r="G616"/>
  <c r="F616"/>
  <c r="E616"/>
  <c r="D616"/>
  <c r="H7"/>
  <c r="H6"/>
  <c r="L27" i="7"/>
  <c r="H27"/>
  <c r="G27"/>
  <c r="F27"/>
  <c r="E27"/>
  <c r="D27"/>
  <c r="L26"/>
  <c r="K26"/>
  <c r="J26"/>
  <c r="I26"/>
  <c r="H26"/>
  <c r="G26"/>
  <c r="F26"/>
  <c r="E26"/>
  <c r="D26"/>
  <c r="L25"/>
  <c r="K25"/>
  <c r="J25"/>
  <c r="I25"/>
  <c r="H25"/>
  <c r="G25"/>
  <c r="F25"/>
  <c r="E25"/>
  <c r="D25"/>
  <c r="L28" i="9"/>
  <c r="H28"/>
  <c r="G28"/>
  <c r="F28"/>
  <c r="E28"/>
  <c r="D28"/>
  <c r="L26"/>
  <c r="H26"/>
  <c r="G26"/>
  <c r="F26"/>
  <c r="E26"/>
  <c r="D26"/>
  <c r="L25"/>
  <c r="K25"/>
  <c r="J25"/>
  <c r="I25"/>
  <c r="H25"/>
  <c r="G25"/>
  <c r="F25"/>
  <c r="E25"/>
  <c r="D25"/>
  <c r="L24"/>
  <c r="K24"/>
  <c r="J24"/>
  <c r="I24"/>
  <c r="H24"/>
  <c r="G24"/>
  <c r="F24"/>
  <c r="E24"/>
  <c r="D24"/>
  <c r="L15"/>
  <c r="K15"/>
  <c r="J15"/>
  <c r="I15"/>
  <c r="H15"/>
  <c r="G15"/>
  <c r="F15"/>
  <c r="E15"/>
  <c r="D15"/>
  <c r="L162" i="1"/>
  <c r="K162"/>
  <c r="G162"/>
  <c r="F162"/>
  <c r="E162"/>
  <c r="D162"/>
  <c r="L957"/>
  <c r="K957"/>
  <c r="G957"/>
  <c r="F957"/>
  <c r="E957"/>
  <c r="D957"/>
  <c r="L26" i="12"/>
  <c r="H26"/>
  <c r="G26"/>
  <c r="F26"/>
  <c r="E26"/>
  <c r="D26"/>
  <c r="L25"/>
  <c r="H25"/>
  <c r="G25"/>
  <c r="F25"/>
  <c r="E25"/>
  <c r="D25"/>
  <c r="L24"/>
  <c r="H24"/>
  <c r="G24"/>
  <c r="F24"/>
  <c r="E24"/>
  <c r="D24"/>
  <c r="L23"/>
  <c r="K23"/>
  <c r="J23"/>
  <c r="I23"/>
  <c r="H23"/>
  <c r="G23"/>
  <c r="F23"/>
  <c r="E23"/>
  <c r="D23"/>
  <c r="L22"/>
  <c r="K22"/>
  <c r="J22"/>
  <c r="I22"/>
  <c r="H22"/>
  <c r="G22"/>
  <c r="F22"/>
  <c r="E22"/>
  <c r="D22"/>
  <c r="L20"/>
  <c r="K20"/>
  <c r="J20"/>
  <c r="I20"/>
  <c r="H20"/>
  <c r="G20"/>
  <c r="F20"/>
  <c r="E20"/>
  <c r="D20"/>
  <c r="L33" i="8"/>
  <c r="K33"/>
  <c r="H33"/>
  <c r="G33"/>
  <c r="F33"/>
  <c r="E33"/>
  <c r="D33"/>
  <c r="L41"/>
  <c r="H41"/>
  <c r="G41"/>
  <c r="F41"/>
  <c r="E41"/>
  <c r="D41"/>
  <c r="L40"/>
  <c r="H40"/>
  <c r="G40"/>
  <c r="F40"/>
  <c r="E40"/>
  <c r="D40"/>
  <c r="L638" i="1"/>
  <c r="H638"/>
  <c r="G638"/>
  <c r="F638"/>
  <c r="E638"/>
  <c r="D638"/>
  <c r="L40" i="6" l="1"/>
  <c r="K40"/>
  <c r="J40"/>
  <c r="I40"/>
  <c r="H40"/>
  <c r="G40"/>
  <c r="F40"/>
  <c r="E40"/>
  <c r="D40"/>
  <c r="L1040" i="1"/>
  <c r="H1040"/>
  <c r="G1040"/>
  <c r="F1040"/>
  <c r="E1040"/>
  <c r="D1040"/>
  <c r="H1039"/>
  <c r="L615"/>
  <c r="K615"/>
  <c r="J615"/>
  <c r="I615"/>
  <c r="G615"/>
  <c r="F615"/>
  <c r="E615"/>
  <c r="D615"/>
  <c r="L609" l="1"/>
  <c r="K609"/>
  <c r="J609"/>
  <c r="G609"/>
  <c r="F609"/>
  <c r="E609"/>
  <c r="D609"/>
  <c r="K610" l="1"/>
  <c r="I610"/>
  <c r="G613"/>
  <c r="G610"/>
  <c r="F613"/>
  <c r="F610"/>
  <c r="E613"/>
  <c r="E610"/>
  <c r="D613"/>
  <c r="D610"/>
  <c r="H609"/>
  <c r="H615"/>
  <c r="H162"/>
  <c r="H957"/>
  <c r="H754"/>
  <c r="L754"/>
  <c r="H336"/>
  <c r="L732"/>
  <c r="H732"/>
  <c r="G732"/>
  <c r="F732"/>
  <c r="E732"/>
  <c r="D732"/>
  <c r="L28" i="18"/>
  <c r="K28"/>
  <c r="J28"/>
  <c r="I28"/>
  <c r="H28"/>
  <c r="G28"/>
  <c r="F28"/>
  <c r="E28"/>
  <c r="D28"/>
  <c r="L27"/>
  <c r="H27"/>
  <c r="G27"/>
  <c r="F27"/>
  <c r="E27"/>
  <c r="D27"/>
  <c r="L26"/>
  <c r="K26"/>
  <c r="H26"/>
  <c r="G26"/>
  <c r="F26"/>
  <c r="E26"/>
  <c r="D26"/>
  <c r="L25"/>
  <c r="K25"/>
  <c r="J25"/>
  <c r="I25"/>
  <c r="H25"/>
  <c r="G25"/>
  <c r="F25"/>
  <c r="E25"/>
  <c r="D25"/>
  <c r="L24"/>
  <c r="K24"/>
  <c r="H24"/>
  <c r="G24"/>
  <c r="F24"/>
  <c r="E24"/>
  <c r="D24"/>
  <c r="L23"/>
  <c r="H23"/>
  <c r="G23"/>
  <c r="F23"/>
  <c r="E23"/>
  <c r="D23"/>
  <c r="L22"/>
  <c r="K22"/>
  <c r="J22"/>
  <c r="I22"/>
  <c r="H22"/>
  <c r="G22"/>
  <c r="F22"/>
  <c r="E22"/>
  <c r="D22"/>
  <c r="L21"/>
  <c r="H21"/>
  <c r="G21"/>
  <c r="F21"/>
  <c r="E21"/>
  <c r="D21"/>
  <c r="L20"/>
  <c r="H20"/>
  <c r="G20"/>
  <c r="F20"/>
  <c r="E20"/>
  <c r="D20"/>
  <c r="L39" i="8"/>
  <c r="H39"/>
  <c r="G39"/>
  <c r="F39"/>
  <c r="E39"/>
  <c r="D39"/>
  <c r="L38"/>
  <c r="H38"/>
  <c r="G38"/>
  <c r="F38"/>
  <c r="E38"/>
  <c r="D38"/>
  <c r="L728" i="1"/>
  <c r="H728"/>
  <c r="G728"/>
  <c r="F728"/>
  <c r="E728"/>
  <c r="D728"/>
  <c r="L727"/>
  <c r="H727"/>
  <c r="G727"/>
  <c r="F727"/>
  <c r="E727"/>
  <c r="D727"/>
  <c r="L37" i="8"/>
  <c r="K37"/>
  <c r="H37"/>
  <c r="G37"/>
  <c r="F37"/>
  <c r="E37"/>
  <c r="D37"/>
  <c r="L462" i="1"/>
  <c r="H462"/>
  <c r="G462"/>
  <c r="F462"/>
  <c r="E462"/>
  <c r="D462"/>
  <c r="L424"/>
  <c r="K424"/>
  <c r="H424"/>
  <c r="G424"/>
  <c r="F424"/>
  <c r="E424"/>
  <c r="D424"/>
  <c r="H610"/>
  <c r="J610"/>
  <c r="L610"/>
  <c r="H613"/>
  <c r="I613"/>
  <c r="J613"/>
  <c r="K613"/>
  <c r="L613"/>
  <c r="L621" l="1"/>
  <c r="L619"/>
  <c r="L618"/>
  <c r="G621"/>
  <c r="G619"/>
  <c r="G618"/>
  <c r="F621"/>
  <c r="F619"/>
  <c r="F618"/>
  <c r="E621"/>
  <c r="E619"/>
  <c r="E618"/>
  <c r="D621"/>
  <c r="D619"/>
  <c r="D618"/>
  <c r="L24" i="7"/>
  <c r="K24"/>
  <c r="H24"/>
  <c r="G24"/>
  <c r="F24"/>
  <c r="E24"/>
  <c r="D24"/>
  <c r="H11" i="1"/>
  <c r="L11"/>
  <c r="K11"/>
  <c r="G11"/>
  <c r="F11"/>
  <c r="E11"/>
  <c r="D11"/>
  <c r="H591"/>
  <c r="L35" i="8" l="1"/>
  <c r="K35"/>
  <c r="H35"/>
  <c r="G35"/>
  <c r="F35"/>
  <c r="E35"/>
  <c r="D35"/>
  <c r="L1152" i="1"/>
  <c r="K1152"/>
  <c r="G1152"/>
  <c r="F1152"/>
  <c r="E1152"/>
  <c r="D1152"/>
  <c r="L29" i="8"/>
  <c r="K29"/>
  <c r="J29"/>
  <c r="I29"/>
  <c r="H29"/>
  <c r="G29"/>
  <c r="F29"/>
  <c r="E29"/>
  <c r="D29"/>
  <c r="L1062" i="1"/>
  <c r="K1062"/>
  <c r="J1062"/>
  <c r="I1062"/>
  <c r="G1062"/>
  <c r="F1062"/>
  <c r="E1062"/>
  <c r="D1062"/>
  <c r="H1152"/>
  <c r="H618"/>
  <c r="H619"/>
  <c r="H621"/>
  <c r="H994"/>
  <c r="L28" i="8"/>
  <c r="K28"/>
  <c r="J28"/>
  <c r="I28"/>
  <c r="H28"/>
  <c r="G28"/>
  <c r="F28"/>
  <c r="E28"/>
  <c r="D28"/>
  <c r="L910" i="1" l="1"/>
  <c r="G910"/>
  <c r="F910"/>
  <c r="E910"/>
  <c r="D910"/>
  <c r="L726"/>
  <c r="E726"/>
  <c r="D726"/>
  <c r="L22" i="7"/>
  <c r="H22"/>
  <c r="G22"/>
  <c r="F22"/>
  <c r="E22"/>
  <c r="D22"/>
  <c r="L23"/>
  <c r="K23"/>
  <c r="J23"/>
  <c r="I23"/>
  <c r="H23"/>
  <c r="G23"/>
  <c r="F23"/>
  <c r="E23"/>
  <c r="D23"/>
  <c r="L20"/>
  <c r="K20"/>
  <c r="J20"/>
  <c r="I20"/>
  <c r="H20"/>
  <c r="G20"/>
  <c r="F20"/>
  <c r="E20"/>
  <c r="D20"/>
  <c r="K580" i="1"/>
  <c r="J580"/>
  <c r="I580"/>
  <c r="G580"/>
  <c r="F580"/>
  <c r="E580"/>
  <c r="D580"/>
  <c r="L26" i="17" l="1"/>
  <c r="H26"/>
  <c r="G26"/>
  <c r="F26"/>
  <c r="E26"/>
  <c r="D26"/>
  <c r="L25"/>
  <c r="H25"/>
  <c r="G25"/>
  <c r="F25"/>
  <c r="E25"/>
  <c r="D25"/>
  <c r="H901" i="1"/>
  <c r="G901"/>
  <c r="F901"/>
  <c r="E901"/>
  <c r="D901"/>
  <c r="L901"/>
  <c r="L900"/>
  <c r="G900"/>
  <c r="F900"/>
  <c r="E900"/>
  <c r="D900"/>
  <c r="H900"/>
  <c r="L22" i="17" l="1"/>
  <c r="K22"/>
  <c r="H22"/>
  <c r="G22"/>
  <c r="F22"/>
  <c r="E22"/>
  <c r="D22"/>
  <c r="L21" i="10" l="1"/>
  <c r="K21"/>
  <c r="J21"/>
  <c r="I21"/>
  <c r="H21"/>
  <c r="G21"/>
  <c r="F21"/>
  <c r="E21"/>
  <c r="D21"/>
  <c r="L38" i="20" l="1"/>
  <c r="K38"/>
  <c r="J38"/>
  <c r="I38"/>
  <c r="H38"/>
  <c r="G38"/>
  <c r="F38"/>
  <c r="E38"/>
  <c r="D38"/>
  <c r="H873" i="1"/>
  <c r="L873"/>
  <c r="G873"/>
  <c r="F873"/>
  <c r="E873"/>
  <c r="D873"/>
  <c r="L57"/>
  <c r="K57"/>
  <c r="G57"/>
  <c r="F57"/>
  <c r="E57"/>
  <c r="D57"/>
  <c r="L25" i="21"/>
  <c r="H25"/>
  <c r="G25"/>
  <c r="F25"/>
  <c r="E25"/>
  <c r="D25"/>
  <c r="L24"/>
  <c r="H24"/>
  <c r="G24"/>
  <c r="F24"/>
  <c r="E24"/>
  <c r="D24"/>
  <c r="L23"/>
  <c r="H23"/>
  <c r="G23"/>
  <c r="F23"/>
  <c r="E23"/>
  <c r="D23"/>
  <c r="L21" i="17"/>
  <c r="H21"/>
  <c r="G21"/>
  <c r="F21"/>
  <c r="E21"/>
  <c r="D21"/>
  <c r="L16" i="11"/>
  <c r="H16"/>
  <c r="G16"/>
  <c r="F16"/>
  <c r="E16"/>
  <c r="D16"/>
  <c r="O3" i="23"/>
  <c r="O5"/>
  <c r="G5"/>
  <c r="N129" l="1"/>
  <c r="M129"/>
  <c r="L129"/>
  <c r="K129"/>
  <c r="J129"/>
  <c r="I129"/>
  <c r="H129"/>
  <c r="G129"/>
  <c r="F129"/>
  <c r="E129"/>
  <c r="D129"/>
  <c r="N95"/>
  <c r="M95"/>
  <c r="L95"/>
  <c r="K95"/>
  <c r="J95"/>
  <c r="I95"/>
  <c r="H95"/>
  <c r="G95"/>
  <c r="F95"/>
  <c r="E95"/>
  <c r="D95"/>
  <c r="N61"/>
  <c r="M61"/>
  <c r="L61"/>
  <c r="K61"/>
  <c r="J61"/>
  <c r="I61"/>
  <c r="H61"/>
  <c r="G61"/>
  <c r="F61"/>
  <c r="E61"/>
  <c r="D61"/>
  <c r="L20" i="17" l="1"/>
  <c r="H20"/>
  <c r="G20"/>
  <c r="F20"/>
  <c r="E20"/>
  <c r="D20"/>
  <c r="G371" i="1"/>
  <c r="F371"/>
  <c r="E371"/>
  <c r="D371"/>
  <c r="G343"/>
  <c r="F343"/>
  <c r="E343"/>
  <c r="D343"/>
  <c r="H580"/>
  <c r="L580"/>
  <c r="F726"/>
  <c r="G726"/>
  <c r="H726"/>
  <c r="H910"/>
  <c r="L899" l="1"/>
  <c r="G899"/>
  <c r="F899"/>
  <c r="E899"/>
  <c r="D899"/>
  <c r="L146" l="1"/>
  <c r="K146"/>
  <c r="G146"/>
  <c r="F146"/>
  <c r="E146"/>
  <c r="D146"/>
  <c r="H145"/>
  <c r="L38" i="3"/>
  <c r="K38"/>
  <c r="J38"/>
  <c r="I38"/>
  <c r="H38"/>
  <c r="G38"/>
  <c r="F38"/>
  <c r="E38"/>
  <c r="D38"/>
  <c r="L15" i="11"/>
  <c r="K15"/>
  <c r="H15"/>
  <c r="G15"/>
  <c r="F15"/>
  <c r="E15"/>
  <c r="D15"/>
  <c r="L14"/>
  <c r="K14"/>
  <c r="J14"/>
  <c r="I14"/>
  <c r="H14"/>
  <c r="G14"/>
  <c r="F14"/>
  <c r="E14"/>
  <c r="D14"/>
  <c r="K56" i="4" l="1"/>
  <c r="K56" i="6"/>
  <c r="K56" i="5"/>
  <c r="L19" i="10"/>
  <c r="K19"/>
  <c r="H19"/>
  <c r="G19"/>
  <c r="F19"/>
  <c r="E19"/>
  <c r="D19"/>
  <c r="L18"/>
  <c r="K18"/>
  <c r="J18"/>
  <c r="I18"/>
  <c r="H18"/>
  <c r="G18"/>
  <c r="F18"/>
  <c r="E18"/>
  <c r="D18"/>
  <c r="L17"/>
  <c r="H17"/>
  <c r="G17"/>
  <c r="F17"/>
  <c r="E17"/>
  <c r="D17"/>
  <c r="L239" i="1"/>
  <c r="H239"/>
  <c r="G239"/>
  <c r="F239"/>
  <c r="E239"/>
  <c r="D239"/>
  <c r="L1074"/>
  <c r="H1074"/>
  <c r="G1074"/>
  <c r="F1074"/>
  <c r="E1074"/>
  <c r="D1074"/>
  <c r="L700"/>
  <c r="K700"/>
  <c r="J700"/>
  <c r="I700"/>
  <c r="H700"/>
  <c r="G700"/>
  <c r="F700"/>
  <c r="E700"/>
  <c r="D700"/>
  <c r="L529"/>
  <c r="K529"/>
  <c r="J529"/>
  <c r="I529"/>
  <c r="G529"/>
  <c r="F529"/>
  <c r="E529"/>
  <c r="D529"/>
  <c r="D6" i="22"/>
  <c r="H698" i="1"/>
  <c r="G698"/>
  <c r="H702"/>
  <c r="H701"/>
  <c r="H699"/>
  <c r="L664"/>
  <c r="H664"/>
  <c r="G664"/>
  <c r="F664"/>
  <c r="E664"/>
  <c r="D664"/>
  <c r="L20" i="20" l="1"/>
  <c r="K20"/>
  <c r="J20"/>
  <c r="I20"/>
  <c r="H20"/>
  <c r="G20"/>
  <c r="F20"/>
  <c r="E20"/>
  <c r="D20"/>
  <c r="D21"/>
  <c r="E21"/>
  <c r="F21"/>
  <c r="G21"/>
  <c r="H21"/>
  <c r="K21"/>
  <c r="L21"/>
  <c r="D22"/>
  <c r="E22"/>
  <c r="F22"/>
  <c r="G22"/>
  <c r="H22"/>
  <c r="I22"/>
  <c r="J22"/>
  <c r="K22"/>
  <c r="L22"/>
  <c r="D23"/>
  <c r="E23"/>
  <c r="F23"/>
  <c r="G23"/>
  <c r="H23"/>
  <c r="K23"/>
  <c r="L23"/>
  <c r="D24"/>
  <c r="E24"/>
  <c r="F24"/>
  <c r="G24"/>
  <c r="H24"/>
  <c r="I24"/>
  <c r="J24"/>
  <c r="K24"/>
  <c r="L24"/>
  <c r="D25"/>
  <c r="E25"/>
  <c r="F25"/>
  <c r="G25"/>
  <c r="H25"/>
  <c r="L25"/>
  <c r="D26"/>
  <c r="E26"/>
  <c r="F26"/>
  <c r="G26"/>
  <c r="H26"/>
  <c r="L26"/>
  <c r="D27"/>
  <c r="E27"/>
  <c r="F27"/>
  <c r="G27"/>
  <c r="H27"/>
  <c r="L27"/>
  <c r="D28"/>
  <c r="E28"/>
  <c r="F28"/>
  <c r="G28"/>
  <c r="H28"/>
  <c r="K28"/>
  <c r="L28"/>
  <c r="D29"/>
  <c r="E29"/>
  <c r="F29"/>
  <c r="G29"/>
  <c r="H29"/>
  <c r="L29"/>
  <c r="D30"/>
  <c r="E30"/>
  <c r="F30"/>
  <c r="G30"/>
  <c r="H30"/>
  <c r="I30"/>
  <c r="J30"/>
  <c r="K30"/>
  <c r="L30"/>
  <c r="D31"/>
  <c r="E31"/>
  <c r="F31"/>
  <c r="G31"/>
  <c r="H31"/>
  <c r="L31"/>
  <c r="D32"/>
  <c r="E32"/>
  <c r="F32"/>
  <c r="G32"/>
  <c r="H32"/>
  <c r="L32"/>
  <c r="D33"/>
  <c r="E33"/>
  <c r="F33"/>
  <c r="G33"/>
  <c r="H33"/>
  <c r="L33"/>
  <c r="D34"/>
  <c r="E34"/>
  <c r="F34"/>
  <c r="G34"/>
  <c r="H34"/>
  <c r="D35"/>
  <c r="E35"/>
  <c r="F35"/>
  <c r="G35"/>
  <c r="H35"/>
  <c r="D36"/>
  <c r="E36"/>
  <c r="F36"/>
  <c r="G36"/>
  <c r="H36"/>
  <c r="D37"/>
  <c r="E37"/>
  <c r="F37"/>
  <c r="G37"/>
  <c r="H37"/>
  <c r="D25" i="3"/>
  <c r="E25"/>
  <c r="F25"/>
  <c r="G25"/>
  <c r="H25"/>
  <c r="L25"/>
  <c r="D26"/>
  <c r="E26"/>
  <c r="F26"/>
  <c r="G26"/>
  <c r="H26"/>
  <c r="L26"/>
  <c r="D27"/>
  <c r="E27"/>
  <c r="F27"/>
  <c r="G27"/>
  <c r="H27"/>
  <c r="L27"/>
  <c r="D28"/>
  <c r="E28"/>
  <c r="F28"/>
  <c r="G28"/>
  <c r="H28"/>
  <c r="K28"/>
  <c r="L28"/>
  <c r="D29"/>
  <c r="E29"/>
  <c r="F29"/>
  <c r="G29"/>
  <c r="H29"/>
  <c r="L29"/>
  <c r="D30"/>
  <c r="E30"/>
  <c r="F30"/>
  <c r="G30"/>
  <c r="H30"/>
  <c r="I30"/>
  <c r="J30"/>
  <c r="K30"/>
  <c r="L30"/>
  <c r="D35"/>
  <c r="E35"/>
  <c r="F35"/>
  <c r="G35"/>
  <c r="H35"/>
  <c r="D37"/>
  <c r="E37"/>
  <c r="F37"/>
  <c r="G37"/>
  <c r="H37"/>
  <c r="K766" i="1"/>
  <c r="G766"/>
  <c r="F766"/>
  <c r="E766"/>
  <c r="D766"/>
  <c r="H747" l="1"/>
  <c r="H745"/>
  <c r="H744"/>
  <c r="L586"/>
  <c r="K586"/>
  <c r="H586"/>
  <c r="G586"/>
  <c r="F586"/>
  <c r="E586"/>
  <c r="D586"/>
  <c r="L592"/>
  <c r="K592"/>
  <c r="H592"/>
  <c r="G592"/>
  <c r="F592"/>
  <c r="E592"/>
  <c r="D592"/>
  <c r="L588"/>
  <c r="K588"/>
  <c r="H588"/>
  <c r="G588"/>
  <c r="F588"/>
  <c r="E588"/>
  <c r="D588"/>
  <c r="L593"/>
  <c r="K593"/>
  <c r="H593"/>
  <c r="G593"/>
  <c r="F593"/>
  <c r="E593"/>
  <c r="D593"/>
  <c r="D21" i="3"/>
  <c r="E21"/>
  <c r="F21"/>
  <c r="G21"/>
  <c r="H21"/>
  <c r="K21"/>
  <c r="L21"/>
  <c r="D22"/>
  <c r="E22"/>
  <c r="F22"/>
  <c r="G22"/>
  <c r="H22"/>
  <c r="I22"/>
  <c r="J22"/>
  <c r="K22"/>
  <c r="L22"/>
  <c r="B13" i="6"/>
  <c r="L32" i="5" l="1"/>
  <c r="K32"/>
  <c r="H32"/>
  <c r="G32"/>
  <c r="F32"/>
  <c r="E32"/>
  <c r="D32"/>
  <c r="L32" i="6"/>
  <c r="K32"/>
  <c r="H32"/>
  <c r="G32"/>
  <c r="F32"/>
  <c r="E32"/>
  <c r="D32"/>
  <c r="L32" i="4"/>
  <c r="K32"/>
  <c r="H32"/>
  <c r="G32"/>
  <c r="F32"/>
  <c r="E32"/>
  <c r="D32"/>
  <c r="B2" i="5" l="1"/>
  <c r="B2" i="6"/>
  <c r="B2" i="4"/>
  <c r="L62" i="5" l="1"/>
  <c r="K62"/>
  <c r="J62"/>
  <c r="I62"/>
  <c r="H62"/>
  <c r="G62"/>
  <c r="F62"/>
  <c r="E62"/>
  <c r="D62"/>
  <c r="L61"/>
  <c r="H61"/>
  <c r="G61"/>
  <c r="F61"/>
  <c r="E61"/>
  <c r="D61"/>
  <c r="L60"/>
  <c r="H60"/>
  <c r="G60"/>
  <c r="F60"/>
  <c r="E60"/>
  <c r="D60"/>
  <c r="L59"/>
  <c r="K59"/>
  <c r="H59"/>
  <c r="G59"/>
  <c r="F59"/>
  <c r="E59"/>
  <c r="D59"/>
  <c r="L57"/>
  <c r="H57"/>
  <c r="G57"/>
  <c r="F57"/>
  <c r="E57"/>
  <c r="D57"/>
  <c r="L56"/>
  <c r="H56"/>
  <c r="G56"/>
  <c r="F56"/>
  <c r="E56"/>
  <c r="D56"/>
  <c r="L52"/>
  <c r="K52"/>
  <c r="J52"/>
  <c r="I52"/>
  <c r="H52"/>
  <c r="G52"/>
  <c r="F52"/>
  <c r="E52"/>
  <c r="D52"/>
  <c r="L51"/>
  <c r="K51"/>
  <c r="J51"/>
  <c r="I51"/>
  <c r="H51"/>
  <c r="G51"/>
  <c r="F51"/>
  <c r="E51"/>
  <c r="D51"/>
  <c r="L48"/>
  <c r="K48"/>
  <c r="J48"/>
  <c r="I48"/>
  <c r="H48"/>
  <c r="G48"/>
  <c r="F48"/>
  <c r="E48"/>
  <c r="D48"/>
  <c r="L47"/>
  <c r="K47"/>
  <c r="J47"/>
  <c r="I47"/>
  <c r="H47"/>
  <c r="G47"/>
  <c r="F47"/>
  <c r="E47"/>
  <c r="D47"/>
  <c r="L46"/>
  <c r="K46"/>
  <c r="J46"/>
  <c r="I46"/>
  <c r="H46"/>
  <c r="G46"/>
  <c r="F46"/>
  <c r="E46"/>
  <c r="D46"/>
  <c r="L45"/>
  <c r="K45"/>
  <c r="J45"/>
  <c r="I45"/>
  <c r="H45"/>
  <c r="G45"/>
  <c r="F45"/>
  <c r="E45"/>
  <c r="D45"/>
  <c r="L44"/>
  <c r="K44"/>
  <c r="J44"/>
  <c r="I44"/>
  <c r="H44"/>
  <c r="G44"/>
  <c r="F44"/>
  <c r="E44"/>
  <c r="D44"/>
  <c r="L43"/>
  <c r="K43"/>
  <c r="J43"/>
  <c r="I43"/>
  <c r="H43"/>
  <c r="G43"/>
  <c r="F43"/>
  <c r="E43"/>
  <c r="D43"/>
  <c r="L42"/>
  <c r="K42"/>
  <c r="J42"/>
  <c r="I42"/>
  <c r="H42"/>
  <c r="G42"/>
  <c r="F42"/>
  <c r="E42"/>
  <c r="D42"/>
  <c r="L41"/>
  <c r="K41"/>
  <c r="J41"/>
  <c r="I41"/>
  <c r="H41"/>
  <c r="G41"/>
  <c r="F41"/>
  <c r="E41"/>
  <c r="D41"/>
  <c r="L38"/>
  <c r="H38"/>
  <c r="G38"/>
  <c r="F38"/>
  <c r="E38"/>
  <c r="D38"/>
  <c r="L37"/>
  <c r="H37"/>
  <c r="G37"/>
  <c r="F37"/>
  <c r="E37"/>
  <c r="D37"/>
  <c r="L35"/>
  <c r="H35"/>
  <c r="G35"/>
  <c r="F35"/>
  <c r="E35"/>
  <c r="D35"/>
  <c r="L34"/>
  <c r="H34"/>
  <c r="G34"/>
  <c r="F34"/>
  <c r="E34"/>
  <c r="D34"/>
  <c r="L33"/>
  <c r="H33"/>
  <c r="G33"/>
  <c r="F33"/>
  <c r="E33"/>
  <c r="D33"/>
  <c r="L31"/>
  <c r="H31"/>
  <c r="G31"/>
  <c r="F31"/>
  <c r="E31"/>
  <c r="D31"/>
  <c r="L30"/>
  <c r="K30"/>
  <c r="H30"/>
  <c r="G30"/>
  <c r="F30"/>
  <c r="E30"/>
  <c r="D30"/>
  <c r="L29"/>
  <c r="H29"/>
  <c r="G29"/>
  <c r="F29"/>
  <c r="E29"/>
  <c r="D29"/>
  <c r="L63" i="6"/>
  <c r="H63"/>
  <c r="G63"/>
  <c r="F63"/>
  <c r="E63"/>
  <c r="D63"/>
  <c r="L62"/>
  <c r="K62"/>
  <c r="J62"/>
  <c r="I62"/>
  <c r="H62"/>
  <c r="G62"/>
  <c r="F62"/>
  <c r="E62"/>
  <c r="D62"/>
  <c r="L61"/>
  <c r="H61"/>
  <c r="G61"/>
  <c r="F61"/>
  <c r="E61"/>
  <c r="D61"/>
  <c r="L60"/>
  <c r="H60"/>
  <c r="G60"/>
  <c r="F60"/>
  <c r="E60"/>
  <c r="D60"/>
  <c r="L57"/>
  <c r="H57"/>
  <c r="G57"/>
  <c r="F57"/>
  <c r="E57"/>
  <c r="D57"/>
  <c r="L56"/>
  <c r="H56"/>
  <c r="G56"/>
  <c r="F56"/>
  <c r="E56"/>
  <c r="D56"/>
  <c r="L52"/>
  <c r="K52"/>
  <c r="J52"/>
  <c r="I52"/>
  <c r="H52"/>
  <c r="G52"/>
  <c r="F52"/>
  <c r="E52"/>
  <c r="D52"/>
  <c r="L51"/>
  <c r="K51"/>
  <c r="J51"/>
  <c r="I51"/>
  <c r="H51"/>
  <c r="G51"/>
  <c r="F51"/>
  <c r="E51"/>
  <c r="D51"/>
  <c r="L50"/>
  <c r="K50"/>
  <c r="J50"/>
  <c r="I50"/>
  <c r="H50"/>
  <c r="G50"/>
  <c r="F50"/>
  <c r="E50"/>
  <c r="D50"/>
  <c r="L48"/>
  <c r="K48"/>
  <c r="J48"/>
  <c r="I48"/>
  <c r="H48"/>
  <c r="G48"/>
  <c r="F48"/>
  <c r="E48"/>
  <c r="D48"/>
  <c r="L47"/>
  <c r="K47"/>
  <c r="J47"/>
  <c r="I47"/>
  <c r="H47"/>
  <c r="G47"/>
  <c r="F47"/>
  <c r="E47"/>
  <c r="D47"/>
  <c r="L46"/>
  <c r="K46"/>
  <c r="J46"/>
  <c r="I46"/>
  <c r="H46"/>
  <c r="G46"/>
  <c r="F46"/>
  <c r="E46"/>
  <c r="D46"/>
  <c r="L45"/>
  <c r="K45"/>
  <c r="J45"/>
  <c r="I45"/>
  <c r="H45"/>
  <c r="G45"/>
  <c r="F45"/>
  <c r="E45"/>
  <c r="D45"/>
  <c r="L44"/>
  <c r="K44"/>
  <c r="J44"/>
  <c r="I44"/>
  <c r="H44"/>
  <c r="G44"/>
  <c r="F44"/>
  <c r="E44"/>
  <c r="D44"/>
  <c r="L43"/>
  <c r="K43"/>
  <c r="J43"/>
  <c r="I43"/>
  <c r="H43"/>
  <c r="G43"/>
  <c r="F43"/>
  <c r="E43"/>
  <c r="D43"/>
  <c r="L41"/>
  <c r="K41"/>
  <c r="J41"/>
  <c r="I41"/>
  <c r="H41"/>
  <c r="G41"/>
  <c r="F41"/>
  <c r="E41"/>
  <c r="D41"/>
  <c r="L38"/>
  <c r="H38"/>
  <c r="G38"/>
  <c r="F38"/>
  <c r="E38"/>
  <c r="D38"/>
  <c r="L37"/>
  <c r="H37"/>
  <c r="G37"/>
  <c r="F37"/>
  <c r="E37"/>
  <c r="D37"/>
  <c r="L36"/>
  <c r="H36"/>
  <c r="G36"/>
  <c r="F36"/>
  <c r="E36"/>
  <c r="D36"/>
  <c r="L35"/>
  <c r="H35"/>
  <c r="G35"/>
  <c r="F35"/>
  <c r="E35"/>
  <c r="D35"/>
  <c r="L34"/>
  <c r="H34"/>
  <c r="G34"/>
  <c r="F34"/>
  <c r="E34"/>
  <c r="D34"/>
  <c r="L33"/>
  <c r="H33"/>
  <c r="G33"/>
  <c r="F33"/>
  <c r="E33"/>
  <c r="D33"/>
  <c r="L31"/>
  <c r="H31"/>
  <c r="G31"/>
  <c r="F31"/>
  <c r="E31"/>
  <c r="D31"/>
  <c r="L30"/>
  <c r="K30"/>
  <c r="H30"/>
  <c r="G30"/>
  <c r="F30"/>
  <c r="E30"/>
  <c r="D30"/>
  <c r="L29"/>
  <c r="H29"/>
  <c r="G29"/>
  <c r="F29"/>
  <c r="E29"/>
  <c r="D29"/>
  <c r="D56" i="4"/>
  <c r="E56"/>
  <c r="F56"/>
  <c r="G56"/>
  <c r="H56"/>
  <c r="L56"/>
  <c r="D57"/>
  <c r="E57"/>
  <c r="F57"/>
  <c r="G57"/>
  <c r="H57"/>
  <c r="L57"/>
  <c r="D58"/>
  <c r="E58"/>
  <c r="F58"/>
  <c r="G58"/>
  <c r="H58"/>
  <c r="K58"/>
  <c r="L58"/>
  <c r="D65"/>
  <c r="E65"/>
  <c r="F65"/>
  <c r="G65"/>
  <c r="H65"/>
  <c r="L65"/>
  <c r="D66"/>
  <c r="E66"/>
  <c r="F66"/>
  <c r="G66"/>
  <c r="H66"/>
  <c r="K66"/>
  <c r="L66"/>
  <c r="D68"/>
  <c r="E68"/>
  <c r="F68"/>
  <c r="G68"/>
  <c r="H68"/>
  <c r="K68"/>
  <c r="L68"/>
  <c r="L34"/>
  <c r="H34"/>
  <c r="G34"/>
  <c r="F34"/>
  <c r="E34"/>
  <c r="D34"/>
  <c r="L33"/>
  <c r="H33"/>
  <c r="G33"/>
  <c r="F33"/>
  <c r="E33"/>
  <c r="D33"/>
  <c r="L37"/>
  <c r="H37"/>
  <c r="G37"/>
  <c r="F37"/>
  <c r="E37"/>
  <c r="D37"/>
  <c r="L30"/>
  <c r="K30"/>
  <c r="H30"/>
  <c r="G30"/>
  <c r="F30"/>
  <c r="E30"/>
  <c r="D30"/>
  <c r="L31"/>
  <c r="H31"/>
  <c r="G31"/>
  <c r="F31"/>
  <c r="E31"/>
  <c r="D31"/>
  <c r="L35"/>
  <c r="H35"/>
  <c r="G35"/>
  <c r="F35"/>
  <c r="E35"/>
  <c r="D35"/>
  <c r="L38"/>
  <c r="H38"/>
  <c r="G38"/>
  <c r="F38"/>
  <c r="E38"/>
  <c r="D38"/>
  <c r="L29"/>
  <c r="H29"/>
  <c r="G29"/>
  <c r="F29"/>
  <c r="E29"/>
  <c r="D29"/>
  <c r="B15" i="5"/>
  <c r="B15" i="6"/>
  <c r="B46" i="18" l="1"/>
  <c r="K45"/>
  <c r="J45"/>
  <c r="I2"/>
  <c r="G45"/>
  <c r="F45"/>
  <c r="E2"/>
  <c r="F8"/>
  <c r="F7"/>
  <c r="F6"/>
  <c r="B3"/>
  <c r="B28" i="4" s="1"/>
  <c r="G2" i="18"/>
  <c r="B46" i="17"/>
  <c r="K45"/>
  <c r="J2"/>
  <c r="G45"/>
  <c r="F2"/>
  <c r="E2"/>
  <c r="F8"/>
  <c r="F7"/>
  <c r="F6"/>
  <c r="B3"/>
  <c r="B27" i="4" s="1"/>
  <c r="I2" i="17"/>
  <c r="B46" i="8"/>
  <c r="J2"/>
  <c r="G2"/>
  <c r="F2"/>
  <c r="L45"/>
  <c r="I45"/>
  <c r="H45"/>
  <c r="E45"/>
  <c r="D45"/>
  <c r="F8"/>
  <c r="F7"/>
  <c r="F6"/>
  <c r="B3"/>
  <c r="B26" i="4" s="1"/>
  <c r="K2" i="8"/>
  <c r="I2"/>
  <c r="E2"/>
  <c r="B46" i="12"/>
  <c r="L45"/>
  <c r="K45"/>
  <c r="J45"/>
  <c r="H45"/>
  <c r="G45"/>
  <c r="F45"/>
  <c r="D45"/>
  <c r="F8"/>
  <c r="F7"/>
  <c r="F6"/>
  <c r="B3"/>
  <c r="B25" i="4" s="1"/>
  <c r="L2" i="12"/>
  <c r="K2"/>
  <c r="J2"/>
  <c r="G2"/>
  <c r="D2"/>
  <c r="B46" i="11"/>
  <c r="L13"/>
  <c r="L2" s="1"/>
  <c r="K13"/>
  <c r="K2" s="1"/>
  <c r="J13"/>
  <c r="I13"/>
  <c r="I2" s="1"/>
  <c r="H13"/>
  <c r="G13"/>
  <c r="F13"/>
  <c r="E13"/>
  <c r="D13"/>
  <c r="D2" s="1"/>
  <c r="L12"/>
  <c r="K12"/>
  <c r="K45" s="1"/>
  <c r="J12"/>
  <c r="I12"/>
  <c r="H12"/>
  <c r="G12"/>
  <c r="G45" s="1"/>
  <c r="F12"/>
  <c r="E12"/>
  <c r="E2" s="1"/>
  <c r="D12"/>
  <c r="F8"/>
  <c r="F7"/>
  <c r="F6"/>
  <c r="B3"/>
  <c r="H2"/>
  <c r="G2"/>
  <c r="B46" i="22"/>
  <c r="L45"/>
  <c r="K45"/>
  <c r="J45"/>
  <c r="I45"/>
  <c r="H45"/>
  <c r="G45"/>
  <c r="F45"/>
  <c r="E45"/>
  <c r="D45"/>
  <c r="F8"/>
  <c r="F7"/>
  <c r="F6"/>
  <c r="B3"/>
  <c r="B23" i="4" s="1"/>
  <c r="K2" i="22"/>
  <c r="J2"/>
  <c r="I2"/>
  <c r="G2"/>
  <c r="F2"/>
  <c r="E2"/>
  <c r="B46" i="10"/>
  <c r="L45"/>
  <c r="K45"/>
  <c r="J45"/>
  <c r="I2"/>
  <c r="H45"/>
  <c r="G45"/>
  <c r="F45"/>
  <c r="E2"/>
  <c r="D45"/>
  <c r="F8"/>
  <c r="F7"/>
  <c r="B3"/>
  <c r="B22" i="4" s="1"/>
  <c r="L2" i="10"/>
  <c r="K2"/>
  <c r="J2"/>
  <c r="H2"/>
  <c r="G2"/>
  <c r="F2"/>
  <c r="D2"/>
  <c r="B46" i="21"/>
  <c r="L45"/>
  <c r="K45"/>
  <c r="J2"/>
  <c r="I45"/>
  <c r="H45"/>
  <c r="G45"/>
  <c r="F2"/>
  <c r="E45"/>
  <c r="D45"/>
  <c r="F8"/>
  <c r="F7"/>
  <c r="F6"/>
  <c r="B3"/>
  <c r="B21" i="4" s="1"/>
  <c r="K2" i="21"/>
  <c r="I2"/>
  <c r="G2"/>
  <c r="E2"/>
  <c r="B46" i="9"/>
  <c r="L45"/>
  <c r="J2"/>
  <c r="I2"/>
  <c r="H45"/>
  <c r="F2"/>
  <c r="D45"/>
  <c r="F8"/>
  <c r="F7"/>
  <c r="F6"/>
  <c r="B3"/>
  <c r="B20" i="4" s="1"/>
  <c r="L2" i="7"/>
  <c r="J2"/>
  <c r="G2"/>
  <c r="F2"/>
  <c r="D2"/>
  <c r="B3"/>
  <c r="H2"/>
  <c r="B3" i="20"/>
  <c r="B18" i="4" s="1"/>
  <c r="B3" i="3"/>
  <c r="B17" i="4" s="1"/>
  <c r="C2" i="3"/>
  <c r="B3" i="19"/>
  <c r="B16" i="4" s="1"/>
  <c r="B28" i="19"/>
  <c r="L22"/>
  <c r="K22"/>
  <c r="H22"/>
  <c r="G22"/>
  <c r="F22"/>
  <c r="E22"/>
  <c r="D22"/>
  <c r="L21"/>
  <c r="H21"/>
  <c r="G21"/>
  <c r="F21"/>
  <c r="E21"/>
  <c r="D21"/>
  <c r="L20"/>
  <c r="H20"/>
  <c r="G20"/>
  <c r="F20"/>
  <c r="E20"/>
  <c r="D20"/>
  <c r="L19"/>
  <c r="K19"/>
  <c r="J19"/>
  <c r="I19"/>
  <c r="H19"/>
  <c r="G19"/>
  <c r="F19"/>
  <c r="E19"/>
  <c r="D19"/>
  <c r="L18"/>
  <c r="K18"/>
  <c r="J18"/>
  <c r="I18"/>
  <c r="H18"/>
  <c r="G18"/>
  <c r="F18"/>
  <c r="E18"/>
  <c r="D18"/>
  <c r="L17"/>
  <c r="K17"/>
  <c r="J17"/>
  <c r="I17"/>
  <c r="H17"/>
  <c r="G17"/>
  <c r="F17"/>
  <c r="E17"/>
  <c r="D17"/>
  <c r="L16"/>
  <c r="K16"/>
  <c r="J16"/>
  <c r="I16"/>
  <c r="H16"/>
  <c r="G16"/>
  <c r="F16"/>
  <c r="E16"/>
  <c r="D16"/>
  <c r="L15"/>
  <c r="K15"/>
  <c r="J15"/>
  <c r="I15"/>
  <c r="H15"/>
  <c r="G15"/>
  <c r="F15"/>
  <c r="E15"/>
  <c r="D15"/>
  <c r="L14"/>
  <c r="K14"/>
  <c r="J14"/>
  <c r="I14"/>
  <c r="H14"/>
  <c r="G14"/>
  <c r="F14"/>
  <c r="E14"/>
  <c r="D14"/>
  <c r="L13"/>
  <c r="K13"/>
  <c r="J13"/>
  <c r="I13"/>
  <c r="H13"/>
  <c r="G13"/>
  <c r="F13"/>
  <c r="E13"/>
  <c r="D13"/>
  <c r="L12"/>
  <c r="K12"/>
  <c r="J12"/>
  <c r="I12"/>
  <c r="H12"/>
  <c r="G12"/>
  <c r="F12"/>
  <c r="E12"/>
  <c r="D12"/>
  <c r="F8"/>
  <c r="F7"/>
  <c r="F6"/>
  <c r="B3" i="2"/>
  <c r="G46" i="11" l="1"/>
  <c r="B24" i="4"/>
  <c r="B24" i="5"/>
  <c r="B24" i="6"/>
  <c r="D45" i="11"/>
  <c r="H45"/>
  <c r="H46" s="1"/>
  <c r="L45"/>
  <c r="B19" i="4"/>
  <c r="B19" i="6"/>
  <c r="H2" i="9"/>
  <c r="F2" i="18"/>
  <c r="H2"/>
  <c r="L2"/>
  <c r="J2"/>
  <c r="B21" i="5"/>
  <c r="B21" i="6"/>
  <c r="F45" i="8"/>
  <c r="J45"/>
  <c r="B26" i="6"/>
  <c r="B26" i="5"/>
  <c r="D2" i="9"/>
  <c r="E45"/>
  <c r="I45"/>
  <c r="B20" i="6"/>
  <c r="B20" i="5"/>
  <c r="B27" i="6"/>
  <c r="B27" i="5"/>
  <c r="D45" i="17"/>
  <c r="H45"/>
  <c r="L45"/>
  <c r="B25" i="6"/>
  <c r="B25" i="5"/>
  <c r="B28"/>
  <c r="B28" i="6"/>
  <c r="B19" i="5"/>
  <c r="K2" i="18"/>
  <c r="L45"/>
  <c r="H45"/>
  <c r="D45"/>
  <c r="E45" i="17"/>
  <c r="I45"/>
  <c r="G2"/>
  <c r="K2"/>
  <c r="G45" i="8"/>
  <c r="K45"/>
  <c r="B18" i="5"/>
  <c r="B18" i="6"/>
  <c r="H2" i="12"/>
  <c r="F2"/>
  <c r="E2"/>
  <c r="I2"/>
  <c r="B23" i="6"/>
  <c r="B23" i="5"/>
  <c r="B17" i="6"/>
  <c r="B17" i="5"/>
  <c r="F2" i="11"/>
  <c r="J2"/>
  <c r="E45"/>
  <c r="E46" s="1"/>
  <c r="I45"/>
  <c r="F9" i="19"/>
  <c r="F27"/>
  <c r="J27"/>
  <c r="J2"/>
  <c r="H2"/>
  <c r="B22" i="6"/>
  <c r="B22" i="5"/>
  <c r="G45" i="9"/>
  <c r="K45"/>
  <c r="F45"/>
  <c r="J45"/>
  <c r="L2"/>
  <c r="E2"/>
  <c r="E2" i="7"/>
  <c r="I2"/>
  <c r="K2"/>
  <c r="C2" i="19"/>
  <c r="K2"/>
  <c r="G2"/>
  <c r="F2"/>
  <c r="E2"/>
  <c r="I2"/>
  <c r="L2"/>
  <c r="E27"/>
  <c r="I27"/>
  <c r="D27"/>
  <c r="H27"/>
  <c r="L27"/>
  <c r="D2"/>
  <c r="G27"/>
  <c r="K27"/>
  <c r="B16" i="5"/>
  <c r="B16" i="6"/>
  <c r="C45" i="18"/>
  <c r="G46" s="1"/>
  <c r="C2"/>
  <c r="D2"/>
  <c r="E45"/>
  <c r="I45"/>
  <c r="C45" i="17"/>
  <c r="K46" s="1"/>
  <c r="C2"/>
  <c r="D2"/>
  <c r="H2"/>
  <c r="L2"/>
  <c r="F45"/>
  <c r="J45"/>
  <c r="C45" i="8"/>
  <c r="H46" s="1"/>
  <c r="C2"/>
  <c r="D2"/>
  <c r="H2"/>
  <c r="L2"/>
  <c r="C45" i="12"/>
  <c r="D46" s="1"/>
  <c r="C2"/>
  <c r="E45"/>
  <c r="I45"/>
  <c r="C45" i="11"/>
  <c r="K46" s="1"/>
  <c r="C2"/>
  <c r="F45"/>
  <c r="F46" s="1"/>
  <c r="J45"/>
  <c r="J46" s="1"/>
  <c r="C45" i="22"/>
  <c r="L46" s="1"/>
  <c r="C2"/>
  <c r="D2"/>
  <c r="H2"/>
  <c r="L2"/>
  <c r="C45" i="10"/>
  <c r="H46" s="1"/>
  <c r="C2"/>
  <c r="E45"/>
  <c r="I45"/>
  <c r="C45" i="21"/>
  <c r="D46" s="1"/>
  <c r="C2"/>
  <c r="D2"/>
  <c r="H2"/>
  <c r="L2"/>
  <c r="F45"/>
  <c r="J45"/>
  <c r="C45" i="9"/>
  <c r="L46" s="1"/>
  <c r="C2"/>
  <c r="G2"/>
  <c r="K2"/>
  <c r="I46" i="11" l="1"/>
  <c r="D46"/>
  <c r="L46"/>
  <c r="D46" i="22"/>
  <c r="G46"/>
  <c r="I46"/>
  <c r="J46" i="17"/>
  <c r="J46" i="22"/>
  <c r="E46"/>
  <c r="K46"/>
  <c r="H46"/>
  <c r="F46"/>
  <c r="L46" i="21"/>
  <c r="E46"/>
  <c r="G46"/>
  <c r="J46"/>
  <c r="H46"/>
  <c r="I46"/>
  <c r="K46"/>
  <c r="F46"/>
  <c r="C27" i="19"/>
  <c r="J3"/>
  <c r="J16" i="5" s="1"/>
  <c r="E46" i="18"/>
  <c r="F46" i="9"/>
  <c r="I46"/>
  <c r="E46"/>
  <c r="J46"/>
  <c r="G46"/>
  <c r="D46"/>
  <c r="K46"/>
  <c r="H46"/>
  <c r="I46" i="10"/>
  <c r="L46"/>
  <c r="F46"/>
  <c r="G46"/>
  <c r="J46"/>
  <c r="K46"/>
  <c r="D46"/>
  <c r="E46"/>
  <c r="H46" i="12"/>
  <c r="F46"/>
  <c r="E46"/>
  <c r="L46"/>
  <c r="J46"/>
  <c r="I46"/>
  <c r="G46"/>
  <c r="K46"/>
  <c r="D46" i="18"/>
  <c r="L46"/>
  <c r="K46"/>
  <c r="F46"/>
  <c r="I46"/>
  <c r="J46"/>
  <c r="H46"/>
  <c r="E46" i="17"/>
  <c r="H46"/>
  <c r="G46"/>
  <c r="F46"/>
  <c r="I46"/>
  <c r="L46"/>
  <c r="D46"/>
  <c r="L46" i="8"/>
  <c r="E46"/>
  <c r="G46"/>
  <c r="I46"/>
  <c r="K46"/>
  <c r="F46"/>
  <c r="D46"/>
  <c r="J46"/>
  <c r="L3" i="19"/>
  <c r="L16" i="4" s="1"/>
  <c r="H3" i="19"/>
  <c r="F3"/>
  <c r="G3"/>
  <c r="G16" i="4" s="1"/>
  <c r="K3" i="19"/>
  <c r="E3"/>
  <c r="D3"/>
  <c r="D16" i="4" s="1"/>
  <c r="I3" i="19"/>
  <c r="I16" i="6" s="1"/>
  <c r="I3" i="18"/>
  <c r="E3"/>
  <c r="K3"/>
  <c r="G3"/>
  <c r="F3"/>
  <c r="L3"/>
  <c r="H3"/>
  <c r="D3"/>
  <c r="J3"/>
  <c r="I3" i="17"/>
  <c r="E3"/>
  <c r="J3"/>
  <c r="F3"/>
  <c r="K3"/>
  <c r="G3"/>
  <c r="L3"/>
  <c r="H3"/>
  <c r="D3"/>
  <c r="I3" i="8"/>
  <c r="E3"/>
  <c r="J3"/>
  <c r="F3"/>
  <c r="K3"/>
  <c r="G3"/>
  <c r="L3"/>
  <c r="H3"/>
  <c r="D3"/>
  <c r="I3" i="12"/>
  <c r="E3"/>
  <c r="J3"/>
  <c r="F3"/>
  <c r="K3"/>
  <c r="G3"/>
  <c r="L3"/>
  <c r="H3"/>
  <c r="D3"/>
  <c r="M3" i="11"/>
  <c r="I3"/>
  <c r="E3"/>
  <c r="J3"/>
  <c r="F3"/>
  <c r="K3"/>
  <c r="G3"/>
  <c r="L3"/>
  <c r="H3"/>
  <c r="D3"/>
  <c r="I3" i="22"/>
  <c r="E3"/>
  <c r="J3"/>
  <c r="F3"/>
  <c r="K3"/>
  <c r="G3"/>
  <c r="L3"/>
  <c r="H3"/>
  <c r="D3"/>
  <c r="I3" i="10"/>
  <c r="E3"/>
  <c r="J3"/>
  <c r="F3"/>
  <c r="K3"/>
  <c r="G3"/>
  <c r="L3"/>
  <c r="H3"/>
  <c r="D3"/>
  <c r="I3" i="21"/>
  <c r="E3"/>
  <c r="J3"/>
  <c r="F3"/>
  <c r="K3"/>
  <c r="G3"/>
  <c r="L3"/>
  <c r="H3"/>
  <c r="D3"/>
  <c r="I3" i="9"/>
  <c r="E3"/>
  <c r="J3"/>
  <c r="F3"/>
  <c r="K3"/>
  <c r="G3"/>
  <c r="L3"/>
  <c r="H3"/>
  <c r="D3"/>
  <c r="E28" i="19" l="1"/>
  <c r="I28"/>
  <c r="D28"/>
  <c r="H28"/>
  <c r="L28"/>
  <c r="J28"/>
  <c r="F28"/>
  <c r="K28"/>
  <c r="G28"/>
  <c r="J16" i="4"/>
  <c r="J16" i="6"/>
  <c r="J28"/>
  <c r="J28" i="5"/>
  <c r="J28" i="4"/>
  <c r="L28" i="5"/>
  <c r="L28" i="6"/>
  <c r="L28" i="4"/>
  <c r="F28" i="6"/>
  <c r="F28" i="5"/>
  <c r="F28" i="4"/>
  <c r="I28" i="5"/>
  <c r="I28" i="6"/>
  <c r="I28" i="4"/>
  <c r="H28" i="5"/>
  <c r="H28" i="6"/>
  <c r="H28" i="4"/>
  <c r="K28" i="5"/>
  <c r="K28" i="6"/>
  <c r="K28" i="4"/>
  <c r="E28" i="5"/>
  <c r="E28" i="6"/>
  <c r="E28" i="4"/>
  <c r="D28" i="5"/>
  <c r="D28" i="6"/>
  <c r="D28" i="4"/>
  <c r="G28" i="5"/>
  <c r="G28" i="6"/>
  <c r="G28" i="4"/>
  <c r="L26" i="5"/>
  <c r="L26" i="6"/>
  <c r="L26" i="4"/>
  <c r="K26" i="5"/>
  <c r="K26" i="6"/>
  <c r="K26" i="4"/>
  <c r="F26" i="5"/>
  <c r="F26" i="6"/>
  <c r="F26" i="4"/>
  <c r="E26" i="5"/>
  <c r="E26" i="6"/>
  <c r="E26" i="4"/>
  <c r="H26" i="5"/>
  <c r="H26" i="6"/>
  <c r="H26" i="4"/>
  <c r="G26" i="5"/>
  <c r="G26" i="6"/>
  <c r="G26" i="4"/>
  <c r="D26" i="5"/>
  <c r="D26" i="6"/>
  <c r="D26" i="4"/>
  <c r="J26" i="5"/>
  <c r="J26" i="6"/>
  <c r="J26" i="4"/>
  <c r="I26" i="5"/>
  <c r="I26" i="6"/>
  <c r="I26" i="4"/>
  <c r="K25"/>
  <c r="K25" i="5"/>
  <c r="K25" i="6"/>
  <c r="F25" i="4"/>
  <c r="F25" i="5"/>
  <c r="F25" i="6"/>
  <c r="E25" i="4"/>
  <c r="E25" i="5"/>
  <c r="E25" i="6"/>
  <c r="L25" i="4"/>
  <c r="L25" i="5"/>
  <c r="L25" i="6"/>
  <c r="G25" i="4"/>
  <c r="G25" i="5"/>
  <c r="G25" i="6"/>
  <c r="H25" i="4"/>
  <c r="H25" i="5"/>
  <c r="H25" i="6"/>
  <c r="D25" i="4"/>
  <c r="D25" i="5"/>
  <c r="D25" i="6"/>
  <c r="J25" i="4"/>
  <c r="J25" i="5"/>
  <c r="J25" i="6"/>
  <c r="I25" i="4"/>
  <c r="I25" i="5"/>
  <c r="I25" i="6"/>
  <c r="D24" i="5"/>
  <c r="D24" i="6"/>
  <c r="D24" i="4"/>
  <c r="J24" i="5"/>
  <c r="J24" i="6"/>
  <c r="J24" i="4"/>
  <c r="E24" i="5"/>
  <c r="E24" i="6"/>
  <c r="E24" i="4"/>
  <c r="K24" i="5"/>
  <c r="K24" i="6"/>
  <c r="K24" i="4"/>
  <c r="F24" i="5"/>
  <c r="F24" i="6"/>
  <c r="F24" i="4"/>
  <c r="L24" i="5"/>
  <c r="L24" i="6"/>
  <c r="L24" i="4"/>
  <c r="G24" i="5"/>
  <c r="G24" i="6"/>
  <c r="G24" i="4"/>
  <c r="H24" i="5"/>
  <c r="H24" i="6"/>
  <c r="H24" i="4"/>
  <c r="I24" i="5"/>
  <c r="I24" i="6"/>
  <c r="I24" i="4"/>
  <c r="G21" i="5"/>
  <c r="G21" i="6"/>
  <c r="G21" i="4"/>
  <c r="H21" i="6"/>
  <c r="H21" i="4"/>
  <c r="H21" i="5"/>
  <c r="L21" i="6"/>
  <c r="L21" i="4"/>
  <c r="L21" i="5"/>
  <c r="J21"/>
  <c r="J21" i="6"/>
  <c r="J21" i="4"/>
  <c r="D21" i="5"/>
  <c r="D21" i="6"/>
  <c r="D21" i="4"/>
  <c r="I21" i="5"/>
  <c r="I21" i="6"/>
  <c r="I21" i="4"/>
  <c r="K21" i="5"/>
  <c r="K21" i="6"/>
  <c r="K21" i="4"/>
  <c r="F21" i="5"/>
  <c r="F21" i="6"/>
  <c r="F21" i="4"/>
  <c r="E21" i="5"/>
  <c r="E21" i="6"/>
  <c r="E21" i="4"/>
  <c r="D20" i="5"/>
  <c r="D20" i="6"/>
  <c r="D20" i="4"/>
  <c r="J20" i="5"/>
  <c r="J20" i="6"/>
  <c r="J20" i="4"/>
  <c r="I20" i="5"/>
  <c r="I20" i="6"/>
  <c r="I20" i="4"/>
  <c r="L20" i="5"/>
  <c r="L20" i="6"/>
  <c r="L20" i="4"/>
  <c r="K20" i="5"/>
  <c r="K20" i="6"/>
  <c r="K20" i="4"/>
  <c r="F20" i="5"/>
  <c r="F20" i="6"/>
  <c r="F20" i="4"/>
  <c r="E20" i="5"/>
  <c r="E20" i="6"/>
  <c r="E20" i="4"/>
  <c r="H20" i="5"/>
  <c r="H20" i="6"/>
  <c r="H20" i="4"/>
  <c r="G20" i="5"/>
  <c r="G20" i="6"/>
  <c r="G20" i="4"/>
  <c r="L27" i="5"/>
  <c r="L27" i="6"/>
  <c r="L27" i="4"/>
  <c r="K27" i="5"/>
  <c r="K27" i="6"/>
  <c r="K27" i="4"/>
  <c r="E27" i="5"/>
  <c r="E27" i="6"/>
  <c r="E27" i="4"/>
  <c r="H27" i="5"/>
  <c r="H27" i="6"/>
  <c r="H27" i="4"/>
  <c r="G27" i="5"/>
  <c r="G27" i="6"/>
  <c r="G27" i="4"/>
  <c r="D27" i="5"/>
  <c r="D27" i="6"/>
  <c r="D27" i="4"/>
  <c r="F27"/>
  <c r="F27" i="5"/>
  <c r="F27" i="6"/>
  <c r="J27"/>
  <c r="J27" i="5"/>
  <c r="J27" i="4"/>
  <c r="I27" i="5"/>
  <c r="I27" i="6"/>
  <c r="I27" i="4"/>
  <c r="D23" i="5"/>
  <c r="D23" i="4"/>
  <c r="D23" i="6"/>
  <c r="J23" i="5"/>
  <c r="J23" i="4"/>
  <c r="J23" i="6"/>
  <c r="I23" i="5"/>
  <c r="I23" i="4"/>
  <c r="I23" i="6"/>
  <c r="L23" i="5"/>
  <c r="L23" i="6"/>
  <c r="L23" i="4"/>
  <c r="K23" i="5"/>
  <c r="K23" i="4"/>
  <c r="K23" i="6"/>
  <c r="F23" i="5"/>
  <c r="F23" i="4"/>
  <c r="F23" i="6"/>
  <c r="E23" i="5"/>
  <c r="E23" i="4"/>
  <c r="E23" i="6"/>
  <c r="H23" i="5"/>
  <c r="H23" i="6"/>
  <c r="H23" i="4"/>
  <c r="G23" i="5"/>
  <c r="G23" i="6"/>
  <c r="G23" i="4"/>
  <c r="F22" i="5"/>
  <c r="F22" i="6"/>
  <c r="F22" i="4"/>
  <c r="L22" i="5"/>
  <c r="L22" i="6"/>
  <c r="L22" i="4"/>
  <c r="D22" i="5"/>
  <c r="D22" i="6"/>
  <c r="D22" i="4"/>
  <c r="J22" i="5"/>
  <c r="J22" i="6"/>
  <c r="J22" i="4"/>
  <c r="I22" i="5"/>
  <c r="I22" i="6"/>
  <c r="I22" i="4"/>
  <c r="K22" i="5"/>
  <c r="K22" i="6"/>
  <c r="K22" i="4"/>
  <c r="E22" i="6"/>
  <c r="E22" i="4"/>
  <c r="E22" i="5"/>
  <c r="G22"/>
  <c r="G22" i="6"/>
  <c r="G22" i="4"/>
  <c r="H22" i="5"/>
  <c r="H22" i="6"/>
  <c r="H22" i="4"/>
  <c r="D16" i="5"/>
  <c r="L16" i="6"/>
  <c r="E16" i="5"/>
  <c r="E16" i="6"/>
  <c r="E16" i="4"/>
  <c r="I16" i="5"/>
  <c r="I16" i="4"/>
  <c r="F16"/>
  <c r="F16" i="5"/>
  <c r="G16" i="6"/>
  <c r="G16" i="5"/>
  <c r="H16"/>
  <c r="H16" i="6"/>
  <c r="H16" i="4"/>
  <c r="D16" i="6"/>
  <c r="K16" i="4"/>
  <c r="K16" i="6"/>
  <c r="K16" i="5"/>
  <c r="L16"/>
  <c r="F16" i="6"/>
  <c r="B46" i="7"/>
  <c r="L45"/>
  <c r="K45"/>
  <c r="J45"/>
  <c r="I45"/>
  <c r="H45"/>
  <c r="G45"/>
  <c r="F45"/>
  <c r="E45"/>
  <c r="D45"/>
  <c r="F8"/>
  <c r="F7"/>
  <c r="F6"/>
  <c r="B46" i="20"/>
  <c r="L19"/>
  <c r="K19"/>
  <c r="H19"/>
  <c r="G19"/>
  <c r="F19"/>
  <c r="E19"/>
  <c r="D19"/>
  <c r="L18"/>
  <c r="K18"/>
  <c r="J18"/>
  <c r="I18"/>
  <c r="H18"/>
  <c r="G18"/>
  <c r="F18"/>
  <c r="E18"/>
  <c r="D18"/>
  <c r="L17"/>
  <c r="K17"/>
  <c r="J17"/>
  <c r="I17"/>
  <c r="H17"/>
  <c r="G17"/>
  <c r="F17"/>
  <c r="E17"/>
  <c r="D17"/>
  <c r="L16"/>
  <c r="K16"/>
  <c r="J16"/>
  <c r="I16"/>
  <c r="H16"/>
  <c r="G16"/>
  <c r="F16"/>
  <c r="E16"/>
  <c r="D16"/>
  <c r="L15"/>
  <c r="K15"/>
  <c r="J15"/>
  <c r="I15"/>
  <c r="H15"/>
  <c r="G15"/>
  <c r="F15"/>
  <c r="E15"/>
  <c r="D15"/>
  <c r="L14"/>
  <c r="K14"/>
  <c r="J14"/>
  <c r="I14"/>
  <c r="H14"/>
  <c r="G14"/>
  <c r="F14"/>
  <c r="E14"/>
  <c r="D14"/>
  <c r="L13"/>
  <c r="K13"/>
  <c r="J13"/>
  <c r="I13"/>
  <c r="H13"/>
  <c r="G13"/>
  <c r="F13"/>
  <c r="E13"/>
  <c r="D13"/>
  <c r="L12"/>
  <c r="K12"/>
  <c r="J12"/>
  <c r="I12"/>
  <c r="H12"/>
  <c r="G12"/>
  <c r="F12"/>
  <c r="E12"/>
  <c r="D12"/>
  <c r="F8"/>
  <c r="F7"/>
  <c r="F6"/>
  <c r="C45" l="1"/>
  <c r="C2"/>
  <c r="C45" i="7"/>
  <c r="I46" s="1"/>
  <c r="C2"/>
  <c r="F45" i="20"/>
  <c r="F2"/>
  <c r="J45"/>
  <c r="J2"/>
  <c r="E45"/>
  <c r="E2"/>
  <c r="I45"/>
  <c r="I2"/>
  <c r="D45"/>
  <c r="D2"/>
  <c r="H45"/>
  <c r="H2"/>
  <c r="L45"/>
  <c r="L2"/>
  <c r="G45"/>
  <c r="G2"/>
  <c r="K45"/>
  <c r="K2"/>
  <c r="B46" i="3"/>
  <c r="L14"/>
  <c r="K14"/>
  <c r="J14"/>
  <c r="I14"/>
  <c r="H14"/>
  <c r="G14"/>
  <c r="F14"/>
  <c r="E14"/>
  <c r="D14"/>
  <c r="L13"/>
  <c r="K13"/>
  <c r="J13"/>
  <c r="I13"/>
  <c r="H13"/>
  <c r="G13"/>
  <c r="F13"/>
  <c r="E13"/>
  <c r="D13"/>
  <c r="F8"/>
  <c r="F7"/>
  <c r="F6"/>
  <c r="F8" i="2"/>
  <c r="F7"/>
  <c r="F6"/>
  <c r="B28"/>
  <c r="L22"/>
  <c r="K22"/>
  <c r="H22"/>
  <c r="G22"/>
  <c r="F22"/>
  <c r="E22"/>
  <c r="D22"/>
  <c r="L21"/>
  <c r="H21"/>
  <c r="G21"/>
  <c r="F21"/>
  <c r="E21"/>
  <c r="D21"/>
  <c r="L20"/>
  <c r="H20"/>
  <c r="G20"/>
  <c r="F20"/>
  <c r="E20"/>
  <c r="D20"/>
  <c r="L19"/>
  <c r="K19"/>
  <c r="J19"/>
  <c r="I19"/>
  <c r="H19"/>
  <c r="G19"/>
  <c r="F19"/>
  <c r="E19"/>
  <c r="D19"/>
  <c r="L18"/>
  <c r="K18"/>
  <c r="J18"/>
  <c r="I18"/>
  <c r="H18"/>
  <c r="G18"/>
  <c r="F18"/>
  <c r="E18"/>
  <c r="D18"/>
  <c r="L17"/>
  <c r="K17"/>
  <c r="J17"/>
  <c r="I17"/>
  <c r="H17"/>
  <c r="G17"/>
  <c r="F17"/>
  <c r="E17"/>
  <c r="D17"/>
  <c r="L16"/>
  <c r="K16"/>
  <c r="J16"/>
  <c r="I16"/>
  <c r="H16"/>
  <c r="G16"/>
  <c r="F16"/>
  <c r="E16"/>
  <c r="D16"/>
  <c r="L15"/>
  <c r="K15"/>
  <c r="J15"/>
  <c r="I15"/>
  <c r="H15"/>
  <c r="G15"/>
  <c r="F15"/>
  <c r="E15"/>
  <c r="D15"/>
  <c r="L14"/>
  <c r="K14"/>
  <c r="J14"/>
  <c r="I14"/>
  <c r="H14"/>
  <c r="G14"/>
  <c r="F14"/>
  <c r="E14"/>
  <c r="D14"/>
  <c r="L13"/>
  <c r="K13"/>
  <c r="J13"/>
  <c r="I13"/>
  <c r="H13"/>
  <c r="G13"/>
  <c r="F13"/>
  <c r="E13"/>
  <c r="D13"/>
  <c r="L12"/>
  <c r="K12"/>
  <c r="J12"/>
  <c r="I12"/>
  <c r="H12"/>
  <c r="G12"/>
  <c r="F12"/>
  <c r="E12"/>
  <c r="D12"/>
  <c r="H766" i="1"/>
  <c r="I766"/>
  <c r="J766"/>
  <c r="L766"/>
  <c r="I664"/>
  <c r="J664"/>
  <c r="K664"/>
  <c r="H529"/>
  <c r="H899"/>
  <c r="H343"/>
  <c r="L343"/>
  <c r="H371"/>
  <c r="L371"/>
  <c r="H57"/>
  <c r="H1062"/>
  <c r="L1190"/>
  <c r="K1190"/>
  <c r="J1190"/>
  <c r="I1190"/>
  <c r="H1190"/>
  <c r="G1190"/>
  <c r="F1190"/>
  <c r="E1190"/>
  <c r="D1190"/>
  <c r="G3" i="20" l="1"/>
  <c r="G18" i="5" s="1"/>
  <c r="G2" i="2"/>
  <c r="G46" i="20"/>
  <c r="H46"/>
  <c r="I46"/>
  <c r="J46"/>
  <c r="K46"/>
  <c r="L46"/>
  <c r="D46"/>
  <c r="E46"/>
  <c r="F9" i="2"/>
  <c r="F2"/>
  <c r="K2"/>
  <c r="J2"/>
  <c r="F46" i="7"/>
  <c r="D2" i="2"/>
  <c r="H2"/>
  <c r="L2"/>
  <c r="E27"/>
  <c r="E2"/>
  <c r="I27"/>
  <c r="I2"/>
  <c r="D46" i="7"/>
  <c r="H46"/>
  <c r="K46"/>
  <c r="J46"/>
  <c r="L46"/>
  <c r="E46"/>
  <c r="G46"/>
  <c r="F46" i="20"/>
  <c r="K3"/>
  <c r="K18" i="4" s="1"/>
  <c r="L3" i="20"/>
  <c r="L18" i="5" s="1"/>
  <c r="D3" i="20"/>
  <c r="D18" i="4" s="1"/>
  <c r="E3" i="20"/>
  <c r="E18" i="6" s="1"/>
  <c r="F3" i="20"/>
  <c r="F18" i="4" s="1"/>
  <c r="K18" i="5"/>
  <c r="G18" i="6"/>
  <c r="H3" i="20"/>
  <c r="I3"/>
  <c r="J3"/>
  <c r="G45" i="3"/>
  <c r="G2"/>
  <c r="G3" s="1"/>
  <c r="K45"/>
  <c r="K2"/>
  <c r="K3" s="1"/>
  <c r="F45"/>
  <c r="F2"/>
  <c r="F3" s="1"/>
  <c r="J45"/>
  <c r="J2"/>
  <c r="J3" s="1"/>
  <c r="E45"/>
  <c r="E2"/>
  <c r="E3" s="1"/>
  <c r="I45"/>
  <c r="I2"/>
  <c r="I3" s="1"/>
  <c r="D45"/>
  <c r="D2"/>
  <c r="D3" s="1"/>
  <c r="L45"/>
  <c r="L2"/>
  <c r="L3" s="1"/>
  <c r="H2"/>
  <c r="H3" s="1"/>
  <c r="G3" i="7"/>
  <c r="J3"/>
  <c r="F3"/>
  <c r="L3"/>
  <c r="H3"/>
  <c r="D3"/>
  <c r="I3"/>
  <c r="E3"/>
  <c r="K3"/>
  <c r="H45" i="3"/>
  <c r="C45"/>
  <c r="L27" i="2"/>
  <c r="H27"/>
  <c r="K27"/>
  <c r="F27"/>
  <c r="J27"/>
  <c r="G27"/>
  <c r="H1178" i="1"/>
  <c r="H1175"/>
  <c r="H1174"/>
  <c r="H1173"/>
  <c r="H1162"/>
  <c r="H1161"/>
  <c r="H1160"/>
  <c r="H1138"/>
  <c r="H1137"/>
  <c r="H1136"/>
  <c r="H1135"/>
  <c r="H1119"/>
  <c r="H1118"/>
  <c r="H1093"/>
  <c r="H1092"/>
  <c r="H1081"/>
  <c r="H1034"/>
  <c r="H1033"/>
  <c r="H1028"/>
  <c r="H1021"/>
  <c r="H1020"/>
  <c r="H1019"/>
  <c r="H1018"/>
  <c r="H1016"/>
  <c r="H1014"/>
  <c r="H1013"/>
  <c r="H1009"/>
  <c r="H1008"/>
  <c r="H988"/>
  <c r="H987"/>
  <c r="H980"/>
  <c r="H979"/>
  <c r="H978"/>
  <c r="H977"/>
  <c r="H976"/>
  <c r="H956"/>
  <c r="H955"/>
  <c r="H954"/>
  <c r="H953"/>
  <c r="H952"/>
  <c r="H950"/>
  <c r="H936"/>
  <c r="H935"/>
  <c r="H927"/>
  <c r="H926"/>
  <c r="H925"/>
  <c r="H924"/>
  <c r="H923"/>
  <c r="H922"/>
  <c r="H921"/>
  <c r="H920"/>
  <c r="H919"/>
  <c r="H915"/>
  <c r="H903"/>
  <c r="H902"/>
  <c r="H893"/>
  <c r="H895"/>
  <c r="H894"/>
  <c r="H892"/>
  <c r="H883"/>
  <c r="H880"/>
  <c r="H876"/>
  <c r="H874"/>
  <c r="H872"/>
  <c r="H871"/>
  <c r="H870"/>
  <c r="H869"/>
  <c r="H868"/>
  <c r="H867"/>
  <c r="H866"/>
  <c r="H865"/>
  <c r="H864"/>
  <c r="H863"/>
  <c r="H858"/>
  <c r="H852"/>
  <c r="H851"/>
  <c r="H850"/>
  <c r="H821"/>
  <c r="H820"/>
  <c r="H819"/>
  <c r="H781"/>
  <c r="H810"/>
  <c r="H787"/>
  <c r="H786"/>
  <c r="H785"/>
  <c r="H784"/>
  <c r="H783"/>
  <c r="H782"/>
  <c r="H780"/>
  <c r="H779"/>
  <c r="H778"/>
  <c r="H737"/>
  <c r="H734"/>
  <c r="H733"/>
  <c r="H719"/>
  <c r="H718"/>
  <c r="H717"/>
  <c r="H716"/>
  <c r="H715"/>
  <c r="H711"/>
  <c r="H710"/>
  <c r="H709"/>
  <c r="H708"/>
  <c r="H707"/>
  <c r="H697"/>
  <c r="H696"/>
  <c r="H694"/>
  <c r="H691"/>
  <c r="H689"/>
  <c r="H688"/>
  <c r="H667"/>
  <c r="H666"/>
  <c r="H570"/>
  <c r="H539"/>
  <c r="H533"/>
  <c r="H532"/>
  <c r="H531"/>
  <c r="L531"/>
  <c r="G531"/>
  <c r="F531"/>
  <c r="E531"/>
  <c r="D531"/>
  <c r="H530"/>
  <c r="H528"/>
  <c r="H520"/>
  <c r="H519"/>
  <c r="H518"/>
  <c r="H517"/>
  <c r="H516"/>
  <c r="H515"/>
  <c r="H502"/>
  <c r="H501"/>
  <c r="H500"/>
  <c r="H499"/>
  <c r="H498"/>
  <c r="H497"/>
  <c r="H496"/>
  <c r="H495"/>
  <c r="H494"/>
  <c r="H493"/>
  <c r="H492"/>
  <c r="H491"/>
  <c r="H490"/>
  <c r="H470"/>
  <c r="H472"/>
  <c r="H471"/>
  <c r="H469"/>
  <c r="H468"/>
  <c r="H467"/>
  <c r="H463"/>
  <c r="H461"/>
  <c r="H460"/>
  <c r="H459"/>
  <c r="H458"/>
  <c r="H456"/>
  <c r="H455"/>
  <c r="H452"/>
  <c r="H451"/>
  <c r="H450"/>
  <c r="H449"/>
  <c r="H448"/>
  <c r="H447"/>
  <c r="H446"/>
  <c r="H445"/>
  <c r="H444"/>
  <c r="H443"/>
  <c r="H442"/>
  <c r="H441"/>
  <c r="H440"/>
  <c r="H436"/>
  <c r="H434"/>
  <c r="H432"/>
  <c r="H355"/>
  <c r="H354"/>
  <c r="H324"/>
  <c r="H323"/>
  <c r="H322"/>
  <c r="H314"/>
  <c r="L313"/>
  <c r="H313"/>
  <c r="G313"/>
  <c r="F313"/>
  <c r="E313"/>
  <c r="D313"/>
  <c r="H312"/>
  <c r="H311"/>
  <c r="H306"/>
  <c r="H303"/>
  <c r="H302"/>
  <c r="H301"/>
  <c r="H300"/>
  <c r="H299"/>
  <c r="H298"/>
  <c r="H297"/>
  <c r="H296"/>
  <c r="H295"/>
  <c r="H294"/>
  <c r="H292"/>
  <c r="H272"/>
  <c r="H262"/>
  <c r="H260"/>
  <c r="H259"/>
  <c r="H258"/>
  <c r="H257"/>
  <c r="H256"/>
  <c r="H254"/>
  <c r="H253"/>
  <c r="H245"/>
  <c r="H243"/>
  <c r="H240"/>
  <c r="H238"/>
  <c r="H230"/>
  <c r="H229"/>
  <c r="H228"/>
  <c r="H227"/>
  <c r="H226"/>
  <c r="H225"/>
  <c r="H224"/>
  <c r="H223"/>
  <c r="H222"/>
  <c r="H221"/>
  <c r="H220"/>
  <c r="H219"/>
  <c r="H215"/>
  <c r="H214"/>
  <c r="H216"/>
  <c r="H213"/>
  <c r="H209"/>
  <c r="H210"/>
  <c r="H208"/>
  <c r="H207"/>
  <c r="H194"/>
  <c r="H142"/>
  <c r="H141"/>
  <c r="H140"/>
  <c r="H139"/>
  <c r="H138"/>
  <c r="H137"/>
  <c r="H136"/>
  <c r="H135"/>
  <c r="H134"/>
  <c r="H133"/>
  <c r="H132"/>
  <c r="H131"/>
  <c r="H130"/>
  <c r="H119"/>
  <c r="H112"/>
  <c r="H111"/>
  <c r="H92"/>
  <c r="H91"/>
  <c r="H90"/>
  <c r="H89"/>
  <c r="H88"/>
  <c r="H74"/>
  <c r="H73"/>
  <c r="H72"/>
  <c r="H71"/>
  <c r="H70"/>
  <c r="H69"/>
  <c r="H68"/>
  <c r="H67"/>
  <c r="H66"/>
  <c r="H65"/>
  <c r="H64"/>
  <c r="H63"/>
  <c r="H54"/>
  <c r="H53"/>
  <c r="H30"/>
  <c r="H25"/>
  <c r="H23"/>
  <c r="H16"/>
  <c r="H15"/>
  <c r="G18" i="4" l="1"/>
  <c r="C27" i="2"/>
  <c r="I28" s="1"/>
  <c r="C2"/>
  <c r="F46" i="3"/>
  <c r="J46"/>
  <c r="I46"/>
  <c r="E46"/>
  <c r="H46"/>
  <c r="L46"/>
  <c r="G46"/>
  <c r="K46"/>
  <c r="D46"/>
  <c r="I19" i="4"/>
  <c r="I19" i="5"/>
  <c r="I19" i="6"/>
  <c r="F19" i="4"/>
  <c r="F19" i="5"/>
  <c r="F19" i="6"/>
  <c r="E19" i="4"/>
  <c r="E19" i="5"/>
  <c r="E19" i="6"/>
  <c r="L19" i="4"/>
  <c r="L19" i="5"/>
  <c r="L19" i="6"/>
  <c r="K19" i="4"/>
  <c r="K19" i="5"/>
  <c r="K19" i="6"/>
  <c r="H19" i="4"/>
  <c r="H19" i="5"/>
  <c r="H19" i="6"/>
  <c r="G19" i="4"/>
  <c r="G19" i="5"/>
  <c r="G19" i="6"/>
  <c r="D19" i="4"/>
  <c r="D19" i="5"/>
  <c r="D19" i="6"/>
  <c r="J19" i="4"/>
  <c r="J19" i="5"/>
  <c r="J19" i="6"/>
  <c r="K18"/>
  <c r="E18" i="5"/>
  <c r="E18" i="4"/>
  <c r="F18" i="5"/>
  <c r="L18" i="6"/>
  <c r="L17" i="5"/>
  <c r="L17" i="4"/>
  <c r="L17" i="6"/>
  <c r="I17" i="5"/>
  <c r="I17" i="4"/>
  <c r="I17" i="6"/>
  <c r="J17" i="5"/>
  <c r="J17" i="6"/>
  <c r="J17" i="4"/>
  <c r="G17" i="5"/>
  <c r="G17" i="4"/>
  <c r="G17" i="6"/>
  <c r="D17" i="4"/>
  <c r="D17" i="5"/>
  <c r="D17" i="6"/>
  <c r="E17" i="5"/>
  <c r="E17" i="6"/>
  <c r="E17" i="4"/>
  <c r="F17" i="6"/>
  <c r="F17" i="5"/>
  <c r="F17" i="4"/>
  <c r="K17" i="5"/>
  <c r="K17" i="4"/>
  <c r="K17" i="6"/>
  <c r="L18" i="4"/>
  <c r="D18" i="5"/>
  <c r="F18" i="6"/>
  <c r="D18"/>
  <c r="I18" i="5"/>
  <c r="I18" i="6"/>
  <c r="I18" i="4"/>
  <c r="J18" i="5"/>
  <c r="J18" i="6"/>
  <c r="J18" i="4"/>
  <c r="H18" i="5"/>
  <c r="H18" i="6"/>
  <c r="H18" i="4"/>
  <c r="H17"/>
  <c r="H17" i="6"/>
  <c r="H17" i="5"/>
  <c r="H127" i="1"/>
  <c r="H128"/>
  <c r="H129"/>
  <c r="H143"/>
  <c r="H144"/>
  <c r="H147"/>
  <c r="H148"/>
  <c r="H149"/>
  <c r="H150"/>
  <c r="H151"/>
  <c r="H152"/>
  <c r="H153"/>
  <c r="H156"/>
  <c r="H158"/>
  <c r="H160"/>
  <c r="H161"/>
  <c r="H163"/>
  <c r="H165"/>
  <c r="H166"/>
  <c r="H168"/>
  <c r="H169"/>
  <c r="H170"/>
  <c r="H171"/>
  <c r="H172"/>
  <c r="H173"/>
  <c r="H174"/>
  <c r="H175"/>
  <c r="H176"/>
  <c r="H177"/>
  <c r="H178"/>
  <c r="H179"/>
  <c r="H180"/>
  <c r="H181"/>
  <c r="H183"/>
  <c r="H184"/>
  <c r="H185"/>
  <c r="H186"/>
  <c r="H187"/>
  <c r="H188"/>
  <c r="H189"/>
  <c r="H190"/>
  <c r="H191"/>
  <c r="H192"/>
  <c r="H193"/>
  <c r="H195"/>
  <c r="H196"/>
  <c r="H197"/>
  <c r="H198"/>
  <c r="H199"/>
  <c r="H200"/>
  <c r="H201"/>
  <c r="H202"/>
  <c r="H203"/>
  <c r="H204"/>
  <c r="H205"/>
  <c r="H206"/>
  <c r="H211"/>
  <c r="H212"/>
  <c r="H217"/>
  <c r="H218"/>
  <c r="H231"/>
  <c r="H232"/>
  <c r="H233"/>
  <c r="H234"/>
  <c r="H235"/>
  <c r="H236"/>
  <c r="H241"/>
  <c r="H242"/>
  <c r="H244"/>
  <c r="H246"/>
  <c r="H247"/>
  <c r="H248"/>
  <c r="H249"/>
  <c r="H250"/>
  <c r="H251"/>
  <c r="H252"/>
  <c r="H255"/>
  <c r="H263"/>
  <c r="H264"/>
  <c r="H265"/>
  <c r="H266"/>
  <c r="H267"/>
  <c r="H268"/>
  <c r="H269"/>
  <c r="H270"/>
  <c r="H271"/>
  <c r="H273"/>
  <c r="H274"/>
  <c r="H275"/>
  <c r="H276"/>
  <c r="H277"/>
  <c r="H278"/>
  <c r="H279"/>
  <c r="H280"/>
  <c r="H281"/>
  <c r="H282"/>
  <c r="H283"/>
  <c r="H284"/>
  <c r="H286"/>
  <c r="H287"/>
  <c r="H288"/>
  <c r="H289"/>
  <c r="H290"/>
  <c r="H291"/>
  <c r="H293"/>
  <c r="H304"/>
  <c r="H305"/>
  <c r="H307"/>
  <c r="H308"/>
  <c r="H309"/>
  <c r="H310"/>
  <c r="H315"/>
  <c r="H316"/>
  <c r="H317"/>
  <c r="H318"/>
  <c r="H319"/>
  <c r="H320"/>
  <c r="H321"/>
  <c r="H326"/>
  <c r="H327"/>
  <c r="H328"/>
  <c r="H329"/>
  <c r="H330"/>
  <c r="H331"/>
  <c r="H332"/>
  <c r="H333"/>
  <c r="H334"/>
  <c r="H337"/>
  <c r="H338"/>
  <c r="H339"/>
  <c r="H340"/>
  <c r="H341"/>
  <c r="H342"/>
  <c r="H344"/>
  <c r="H345"/>
  <c r="H346"/>
  <c r="H347"/>
  <c r="H348"/>
  <c r="H351"/>
  <c r="H352"/>
  <c r="H353"/>
  <c r="H356"/>
  <c r="H358"/>
  <c r="H359"/>
  <c r="H360"/>
  <c r="H362"/>
  <c r="H363"/>
  <c r="H364"/>
  <c r="H365"/>
  <c r="H366"/>
  <c r="H368"/>
  <c r="H369"/>
  <c r="H370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5"/>
  <c r="H406"/>
  <c r="H407"/>
  <c r="H408"/>
  <c r="H409"/>
  <c r="H410"/>
  <c r="H411"/>
  <c r="H412"/>
  <c r="H413"/>
  <c r="H414"/>
  <c r="H415"/>
  <c r="H416"/>
  <c r="H417"/>
  <c r="H426"/>
  <c r="H427"/>
  <c r="H428"/>
  <c r="H429"/>
  <c r="H430"/>
  <c r="H431"/>
  <c r="H433"/>
  <c r="H437"/>
  <c r="H438"/>
  <c r="H439"/>
  <c r="H453"/>
  <c r="H454"/>
  <c r="H457"/>
  <c r="H464"/>
  <c r="H465"/>
  <c r="H466"/>
  <c r="H473"/>
  <c r="H474"/>
  <c r="H475"/>
  <c r="H476"/>
  <c r="H477"/>
  <c r="H479"/>
  <c r="H480"/>
  <c r="H481"/>
  <c r="H482"/>
  <c r="H483"/>
  <c r="H484"/>
  <c r="H485"/>
  <c r="H486"/>
  <c r="H487"/>
  <c r="H488"/>
  <c r="H489"/>
  <c r="H503"/>
  <c r="H504"/>
  <c r="H505"/>
  <c r="H506"/>
  <c r="H507"/>
  <c r="H508"/>
  <c r="H509"/>
  <c r="H510"/>
  <c r="H511"/>
  <c r="H512"/>
  <c r="H514"/>
  <c r="H521"/>
  <c r="H522"/>
  <c r="H523"/>
  <c r="H524"/>
  <c r="H526"/>
  <c r="H527"/>
  <c r="H534"/>
  <c r="H535"/>
  <c r="H536"/>
  <c r="H538"/>
  <c r="H540"/>
  <c r="H541"/>
  <c r="H542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7"/>
  <c r="H568"/>
  <c r="H569"/>
  <c r="H571"/>
  <c r="H572"/>
  <c r="H573"/>
  <c r="H574"/>
  <c r="H575"/>
  <c r="H576"/>
  <c r="H577"/>
  <c r="H578"/>
  <c r="H579"/>
  <c r="H581"/>
  <c r="H582"/>
  <c r="H583"/>
  <c r="H584"/>
  <c r="H585"/>
  <c r="H587"/>
  <c r="H589"/>
  <c r="H590"/>
  <c r="H594"/>
  <c r="H595"/>
  <c r="H596"/>
  <c r="H597"/>
  <c r="H598"/>
  <c r="H599"/>
  <c r="H600"/>
  <c r="H601"/>
  <c r="H603"/>
  <c r="H604"/>
  <c r="H605"/>
  <c r="H606"/>
  <c r="H607"/>
  <c r="H608"/>
  <c r="H611"/>
  <c r="H612"/>
  <c r="H617"/>
  <c r="H620"/>
  <c r="H622"/>
  <c r="H623"/>
  <c r="H624"/>
  <c r="H625"/>
  <c r="H626"/>
  <c r="H627"/>
  <c r="H628"/>
  <c r="H629"/>
  <c r="H630"/>
  <c r="H631"/>
  <c r="H632"/>
  <c r="H633"/>
  <c r="H634"/>
  <c r="H635"/>
  <c r="H636"/>
  <c r="H637"/>
  <c r="H639"/>
  <c r="H643"/>
  <c r="H644"/>
  <c r="H647"/>
  <c r="H649"/>
  <c r="H650"/>
  <c r="H651"/>
  <c r="H652"/>
  <c r="H653"/>
  <c r="H654"/>
  <c r="H655"/>
  <c r="H656"/>
  <c r="H657"/>
  <c r="H658"/>
  <c r="H659"/>
  <c r="H660"/>
  <c r="H661"/>
  <c r="H662"/>
  <c r="H663"/>
  <c r="H665"/>
  <c r="H668"/>
  <c r="H669"/>
  <c r="H670"/>
  <c r="H671"/>
  <c r="H672"/>
  <c r="H673"/>
  <c r="H674"/>
  <c r="H675"/>
  <c r="H676"/>
  <c r="H677"/>
  <c r="H679"/>
  <c r="H680"/>
  <c r="H681"/>
  <c r="H682"/>
  <c r="H683"/>
  <c r="H684"/>
  <c r="H685"/>
  <c r="H686"/>
  <c r="H687"/>
  <c r="H690"/>
  <c r="H692"/>
  <c r="H693"/>
  <c r="H695"/>
  <c r="H703"/>
  <c r="H705"/>
  <c r="H706"/>
  <c r="H712"/>
  <c r="H720"/>
  <c r="H721"/>
  <c r="H723"/>
  <c r="H724"/>
  <c r="H725"/>
  <c r="H729"/>
  <c r="H730"/>
  <c r="H731"/>
  <c r="H735"/>
  <c r="H736"/>
  <c r="H738"/>
  <c r="H739"/>
  <c r="H740"/>
  <c r="H741"/>
  <c r="H742"/>
  <c r="H743"/>
  <c r="H746"/>
  <c r="H748"/>
  <c r="H749"/>
  <c r="H750"/>
  <c r="H751"/>
  <c r="H752"/>
  <c r="H753"/>
  <c r="H755"/>
  <c r="H756"/>
  <c r="H757"/>
  <c r="H758"/>
  <c r="H759"/>
  <c r="H760"/>
  <c r="H761"/>
  <c r="H763"/>
  <c r="H764"/>
  <c r="H765"/>
  <c r="H767"/>
  <c r="H768"/>
  <c r="H769"/>
  <c r="H771"/>
  <c r="H772"/>
  <c r="H773"/>
  <c r="H774"/>
  <c r="H775"/>
  <c r="H776"/>
  <c r="H777"/>
  <c r="H788"/>
  <c r="H789"/>
  <c r="H790"/>
  <c r="H792"/>
  <c r="H793"/>
  <c r="H794"/>
  <c r="H795"/>
  <c r="H796"/>
  <c r="H797"/>
  <c r="H798"/>
  <c r="H799"/>
  <c r="H800"/>
  <c r="H801"/>
  <c r="H804"/>
  <c r="H805"/>
  <c r="H806"/>
  <c r="H807"/>
  <c r="H808"/>
  <c r="H809"/>
  <c r="H811"/>
  <c r="H812"/>
  <c r="H813"/>
  <c r="H814"/>
  <c r="H815"/>
  <c r="H816"/>
  <c r="H817"/>
  <c r="H818"/>
  <c r="H822"/>
  <c r="H823"/>
  <c r="H824"/>
  <c r="H825"/>
  <c r="H826"/>
  <c r="H827"/>
  <c r="H828"/>
  <c r="H829"/>
  <c r="H830"/>
  <c r="H831"/>
  <c r="H833"/>
  <c r="H834"/>
  <c r="H835"/>
  <c r="H836"/>
  <c r="H837"/>
  <c r="H838"/>
  <c r="H839"/>
  <c r="H840"/>
  <c r="H841"/>
  <c r="H842"/>
  <c r="H843"/>
  <c r="H845"/>
  <c r="H847"/>
  <c r="H848"/>
  <c r="H849"/>
  <c r="H853"/>
  <c r="H854"/>
  <c r="H855"/>
  <c r="H856"/>
  <c r="H857"/>
  <c r="H859"/>
  <c r="H860"/>
  <c r="H875"/>
  <c r="H877"/>
  <c r="H879"/>
  <c r="H882"/>
  <c r="H884"/>
  <c r="H885"/>
  <c r="H886"/>
  <c r="H887"/>
  <c r="H888"/>
  <c r="H889"/>
  <c r="H890"/>
  <c r="H891"/>
  <c r="H896"/>
  <c r="H897"/>
  <c r="H898"/>
  <c r="H904"/>
  <c r="H906"/>
  <c r="H907"/>
  <c r="H908"/>
  <c r="H909"/>
  <c r="H911"/>
  <c r="H912"/>
  <c r="H913"/>
  <c r="H914"/>
  <c r="H916"/>
  <c r="H917"/>
  <c r="H918"/>
  <c r="H929"/>
  <c r="H930"/>
  <c r="H931"/>
  <c r="H932"/>
  <c r="H933"/>
  <c r="H934"/>
  <c r="H937"/>
  <c r="H938"/>
  <c r="H939"/>
  <c r="H940"/>
  <c r="H941"/>
  <c r="H942"/>
  <c r="H943"/>
  <c r="H944"/>
  <c r="H945"/>
  <c r="H946"/>
  <c r="H947"/>
  <c r="H948"/>
  <c r="H949"/>
  <c r="H958"/>
  <c r="H959"/>
  <c r="H960"/>
  <c r="H961"/>
  <c r="H962"/>
  <c r="H963"/>
  <c r="H964"/>
  <c r="H965"/>
  <c r="H966"/>
  <c r="H967"/>
  <c r="H968"/>
  <c r="H970"/>
  <c r="H971"/>
  <c r="H972"/>
  <c r="H973"/>
  <c r="H974"/>
  <c r="H975"/>
  <c r="H981"/>
  <c r="H982"/>
  <c r="H983"/>
  <c r="H984"/>
  <c r="H985"/>
  <c r="H986"/>
  <c r="H989"/>
  <c r="H990"/>
  <c r="H991"/>
  <c r="H992"/>
  <c r="H993"/>
  <c r="H995"/>
  <c r="H996"/>
  <c r="H997"/>
  <c r="H998"/>
  <c r="H999"/>
  <c r="H1000"/>
  <c r="H1001"/>
  <c r="H1003"/>
  <c r="H1004"/>
  <c r="H1005"/>
  <c r="H1006"/>
  <c r="H1007"/>
  <c r="H1010"/>
  <c r="H1011"/>
  <c r="H1012"/>
  <c r="H1015"/>
  <c r="H1017"/>
  <c r="H1022"/>
  <c r="H1023"/>
  <c r="H1024"/>
  <c r="H1025"/>
  <c r="H1026"/>
  <c r="H1027"/>
  <c r="H1029"/>
  <c r="H1030"/>
  <c r="H1031"/>
  <c r="H1032"/>
  <c r="H1035"/>
  <c r="H1036"/>
  <c r="H1037"/>
  <c r="H1038"/>
  <c r="H1041"/>
  <c r="H1042"/>
  <c r="H1043"/>
  <c r="H1044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3"/>
  <c r="H1064"/>
  <c r="H1065"/>
  <c r="H1067"/>
  <c r="H1068"/>
  <c r="H1069"/>
  <c r="H1070"/>
  <c r="H1071"/>
  <c r="H1072"/>
  <c r="H1073"/>
  <c r="H1075"/>
  <c r="H1076"/>
  <c r="H1077"/>
  <c r="H1078"/>
  <c r="H1079"/>
  <c r="H1080"/>
  <c r="H1082"/>
  <c r="H1083"/>
  <c r="H1084"/>
  <c r="H1085"/>
  <c r="H1086"/>
  <c r="H1087"/>
  <c r="H1088"/>
  <c r="H1089"/>
  <c r="H1090"/>
  <c r="H1091"/>
  <c r="H1094"/>
  <c r="H1095"/>
  <c r="H1096"/>
  <c r="H1097"/>
  <c r="H1098"/>
  <c r="H1099"/>
  <c r="H1100"/>
  <c r="H1101"/>
  <c r="H1102"/>
  <c r="H1103"/>
  <c r="H1104"/>
  <c r="H1105"/>
  <c r="H1107"/>
  <c r="H1108"/>
  <c r="H1109"/>
  <c r="H1110"/>
  <c r="H1111"/>
  <c r="H1112"/>
  <c r="H1113"/>
  <c r="H1114"/>
  <c r="H1115"/>
  <c r="H1116"/>
  <c r="H1117"/>
  <c r="H1121"/>
  <c r="H1122"/>
  <c r="H1123"/>
  <c r="H1124"/>
  <c r="H1125"/>
  <c r="H1126"/>
  <c r="H1127"/>
  <c r="H1128"/>
  <c r="H1129"/>
  <c r="H1130"/>
  <c r="H1131"/>
  <c r="H1132"/>
  <c r="H1133"/>
  <c r="H1134"/>
  <c r="H1139"/>
  <c r="H1140"/>
  <c r="H1141"/>
  <c r="H1142"/>
  <c r="H1143"/>
  <c r="H1144"/>
  <c r="H1145"/>
  <c r="H1146"/>
  <c r="H1149"/>
  <c r="H1150"/>
  <c r="H1151"/>
  <c r="H1153"/>
  <c r="H1154"/>
  <c r="H1155"/>
  <c r="H1156"/>
  <c r="H1157"/>
  <c r="H1158"/>
  <c r="H1159"/>
  <c r="H1163"/>
  <c r="H1164"/>
  <c r="H1166"/>
  <c r="H1167"/>
  <c r="H1168"/>
  <c r="H1169"/>
  <c r="H1170"/>
  <c r="H1171"/>
  <c r="H1172"/>
  <c r="H1179"/>
  <c r="H1183"/>
  <c r="H1184"/>
  <c r="H1185"/>
  <c r="H1186"/>
  <c r="H1187"/>
  <c r="H1188"/>
  <c r="H1189"/>
  <c r="H543"/>
  <c r="H678"/>
  <c r="H154"/>
  <c r="H513"/>
  <c r="H614"/>
  <c r="H905"/>
  <c r="H357"/>
  <c r="H714"/>
  <c r="H1106"/>
  <c r="H1147"/>
  <c r="H35"/>
  <c r="H969"/>
  <c r="H762"/>
  <c r="H418"/>
  <c r="H422"/>
  <c r="H420"/>
  <c r="H844"/>
  <c r="H1066"/>
  <c r="H878"/>
  <c r="H1165"/>
  <c r="H648"/>
  <c r="H525"/>
  <c r="H704"/>
  <c r="H182"/>
  <c r="H537"/>
  <c r="H110"/>
  <c r="H1120"/>
  <c r="H641"/>
  <c r="H642"/>
  <c r="H640"/>
  <c r="H164"/>
  <c r="H159"/>
  <c r="H14"/>
  <c r="H1191"/>
  <c r="H646"/>
  <c r="H861"/>
  <c r="H862"/>
  <c r="H565"/>
  <c r="H566"/>
  <c r="H564"/>
  <c r="H325"/>
  <c r="H120"/>
  <c r="H121"/>
  <c r="H122"/>
  <c r="H123"/>
  <c r="H124"/>
  <c r="H125"/>
  <c r="H126"/>
  <c r="H1181"/>
  <c r="H1182"/>
  <c r="H4"/>
  <c r="H5"/>
  <c r="H8"/>
  <c r="H9"/>
  <c r="H10"/>
  <c r="H12"/>
  <c r="H13"/>
  <c r="H17"/>
  <c r="H18"/>
  <c r="H19"/>
  <c r="H20"/>
  <c r="H21"/>
  <c r="H22"/>
  <c r="H26"/>
  <c r="H27"/>
  <c r="H28"/>
  <c r="H29"/>
  <c r="H31"/>
  <c r="H32"/>
  <c r="H33"/>
  <c r="H34"/>
  <c r="H36"/>
  <c r="H37"/>
  <c r="H38"/>
  <c r="H39"/>
  <c r="H40"/>
  <c r="H41"/>
  <c r="H42"/>
  <c r="H43"/>
  <c r="H44"/>
  <c r="H45"/>
  <c r="H46"/>
  <c r="H47"/>
  <c r="H48"/>
  <c r="H49"/>
  <c r="H50"/>
  <c r="H51"/>
  <c r="H52"/>
  <c r="H55"/>
  <c r="H56"/>
  <c r="H58"/>
  <c r="H59"/>
  <c r="H60"/>
  <c r="H61"/>
  <c r="H62"/>
  <c r="H75"/>
  <c r="H76"/>
  <c r="H77"/>
  <c r="H78"/>
  <c r="H79"/>
  <c r="H80"/>
  <c r="H81"/>
  <c r="H82"/>
  <c r="H83"/>
  <c r="H84"/>
  <c r="H85"/>
  <c r="H86"/>
  <c r="H87"/>
  <c r="H93"/>
  <c r="H95"/>
  <c r="H96"/>
  <c r="H97"/>
  <c r="H98"/>
  <c r="H99"/>
  <c r="H100"/>
  <c r="H102"/>
  <c r="H103"/>
  <c r="H104"/>
  <c r="H105"/>
  <c r="H106"/>
  <c r="H107"/>
  <c r="H108"/>
  <c r="H109"/>
  <c r="H113"/>
  <c r="H114"/>
  <c r="H115"/>
  <c r="H116"/>
  <c r="H117"/>
  <c r="H118"/>
  <c r="H1180"/>
  <c r="E325"/>
  <c r="L325"/>
  <c r="G325"/>
  <c r="F325"/>
  <c r="D325"/>
  <c r="L564"/>
  <c r="K564"/>
  <c r="J564"/>
  <c r="I564"/>
  <c r="G564"/>
  <c r="F564"/>
  <c r="E564"/>
  <c r="D564"/>
  <c r="L566"/>
  <c r="K566"/>
  <c r="J566"/>
  <c r="I566"/>
  <c r="G566"/>
  <c r="F566"/>
  <c r="E566"/>
  <c r="D566"/>
  <c r="L565"/>
  <c r="K565"/>
  <c r="J565"/>
  <c r="I565"/>
  <c r="G565"/>
  <c r="F565"/>
  <c r="E565"/>
  <c r="D565"/>
  <c r="L862"/>
  <c r="L861"/>
  <c r="K862"/>
  <c r="K861"/>
  <c r="J862"/>
  <c r="J861"/>
  <c r="I862"/>
  <c r="I861"/>
  <c r="G862"/>
  <c r="G861"/>
  <c r="F862"/>
  <c r="F861"/>
  <c r="E862"/>
  <c r="E861"/>
  <c r="D862"/>
  <c r="D861"/>
  <c r="L696"/>
  <c r="L28" i="2" l="1"/>
  <c r="J28"/>
  <c r="F28"/>
  <c r="K28"/>
  <c r="E28"/>
  <c r="G28"/>
  <c r="H28"/>
  <c r="F3"/>
  <c r="J3"/>
  <c r="K3"/>
  <c r="G3"/>
  <c r="E3"/>
  <c r="L3"/>
  <c r="I3"/>
  <c r="H3"/>
  <c r="D3"/>
  <c r="D15" i="5" s="1"/>
  <c r="L15" i="1"/>
  <c r="G15"/>
  <c r="F15"/>
  <c r="E15"/>
  <c r="D15"/>
  <c r="F365"/>
  <c r="L646"/>
  <c r="K646"/>
  <c r="G646"/>
  <c r="F646"/>
  <c r="E646"/>
  <c r="D646"/>
  <c r="L1191"/>
  <c r="K1191"/>
  <c r="J1191"/>
  <c r="I1191"/>
  <c r="G1191"/>
  <c r="F1191"/>
  <c r="E1191"/>
  <c r="D1191"/>
  <c r="L14"/>
  <c r="K14"/>
  <c r="G14"/>
  <c r="F14"/>
  <c r="E14"/>
  <c r="D14"/>
  <c r="L159"/>
  <c r="K159"/>
  <c r="G159"/>
  <c r="F159"/>
  <c r="E159"/>
  <c r="D159"/>
  <c r="L164"/>
  <c r="K164"/>
  <c r="G164"/>
  <c r="F164"/>
  <c r="E164"/>
  <c r="D164"/>
  <c r="E15" i="6" l="1"/>
  <c r="E4" s="1"/>
  <c r="E4" i="5" s="1"/>
  <c r="E15"/>
  <c r="E5" s="1"/>
  <c r="E15" i="4"/>
  <c r="E3" s="1"/>
  <c r="E6" s="1"/>
  <c r="F15" i="5"/>
  <c r="F5" s="1"/>
  <c r="F15" i="4"/>
  <c r="F3" s="1"/>
  <c r="F15" i="6"/>
  <c r="F4" s="1"/>
  <c r="F4" i="5" s="1"/>
  <c r="L15"/>
  <c r="L5" s="1"/>
  <c r="L15" i="4"/>
  <c r="L3" s="1"/>
  <c r="L6" s="1"/>
  <c r="L15" i="6"/>
  <c r="L4" s="1"/>
  <c r="L4" i="5" s="1"/>
  <c r="J15" i="4"/>
  <c r="J3" s="1"/>
  <c r="J3" i="6" s="1"/>
  <c r="J3" i="5" s="1"/>
  <c r="J15"/>
  <c r="J5" s="1"/>
  <c r="J15" i="6"/>
  <c r="J4" s="1"/>
  <c r="J4" i="5" s="1"/>
  <c r="H15" i="4"/>
  <c r="H3" s="1"/>
  <c r="H6" s="1"/>
  <c r="H15" i="6"/>
  <c r="H4" s="1"/>
  <c r="H4" i="5" s="1"/>
  <c r="H15"/>
  <c r="H5" s="1"/>
  <c r="I15"/>
  <c r="I5" s="1"/>
  <c r="I15" i="4"/>
  <c r="I3" s="1"/>
  <c r="I6" s="1"/>
  <c r="I15" i="6"/>
  <c r="I4" s="1"/>
  <c r="I4" i="5" s="1"/>
  <c r="K15"/>
  <c r="K5" s="1"/>
  <c r="K15" i="4"/>
  <c r="K3" s="1"/>
  <c r="K15" i="6"/>
  <c r="K4" s="1"/>
  <c r="K4" i="5" s="1"/>
  <c r="D15" i="4"/>
  <c r="D3" s="1"/>
  <c r="D15" i="6"/>
  <c r="D4" s="1"/>
  <c r="D4" i="5" s="1"/>
  <c r="D5"/>
  <c r="G15" i="6"/>
  <c r="G4" s="1"/>
  <c r="G4" i="5" s="1"/>
  <c r="G15"/>
  <c r="G5" s="1"/>
  <c r="G15" i="4"/>
  <c r="G3" s="1"/>
  <c r="G6" s="1"/>
  <c r="L640" i="1"/>
  <c r="G640"/>
  <c r="F640"/>
  <c r="E640"/>
  <c r="D640"/>
  <c r="J6" i="5" l="1"/>
  <c r="L3" i="6"/>
  <c r="L3" i="5" s="1"/>
  <c r="L6" s="1"/>
  <c r="E3" i="6"/>
  <c r="E6" s="1"/>
  <c r="H3"/>
  <c r="H6" s="1"/>
  <c r="J6"/>
  <c r="J6" i="4"/>
  <c r="F3" i="6"/>
  <c r="F6" i="4"/>
  <c r="D3" i="6"/>
  <c r="D6" i="4"/>
  <c r="E10" s="1"/>
  <c r="K3" i="6"/>
  <c r="K6" i="4"/>
  <c r="G3" i="6"/>
  <c r="G6" s="1"/>
  <c r="I3"/>
  <c r="I3" i="5" s="1"/>
  <c r="I6" s="1"/>
  <c r="L642" i="1"/>
  <c r="K642"/>
  <c r="G642"/>
  <c r="F642"/>
  <c r="E642"/>
  <c r="D642"/>
  <c r="K641"/>
  <c r="L641"/>
  <c r="G641"/>
  <c r="F641"/>
  <c r="E641"/>
  <c r="D641"/>
  <c r="G1120"/>
  <c r="F1120"/>
  <c r="E1120"/>
  <c r="D1120"/>
  <c r="E3" i="5" l="1"/>
  <c r="E6" s="1"/>
  <c r="L6" i="6"/>
  <c r="G10" i="4"/>
  <c r="F10"/>
  <c r="H3" i="5"/>
  <c r="H6" s="1"/>
  <c r="G3"/>
  <c r="G6" s="1"/>
  <c r="K6" i="6"/>
  <c r="K3" i="5"/>
  <c r="K6" s="1"/>
  <c r="F3"/>
  <c r="F6" s="1"/>
  <c r="F6" i="6"/>
  <c r="D3" i="5"/>
  <c r="D6" s="1"/>
  <c r="D6" i="6"/>
  <c r="E10" s="1"/>
  <c r="I6"/>
  <c r="L781" i="1"/>
  <c r="K781"/>
  <c r="D781"/>
  <c r="E781"/>
  <c r="F781"/>
  <c r="G781"/>
  <c r="E10" i="5" l="1"/>
  <c r="D10" i="4"/>
  <c r="G10" i="5"/>
  <c r="G10" i="6"/>
  <c r="F10" i="5"/>
  <c r="F10" i="6"/>
  <c r="K644" i="1"/>
  <c r="L883"/>
  <c r="G883"/>
  <c r="F883"/>
  <c r="E883"/>
  <c r="D883"/>
  <c r="D10" i="5" l="1"/>
  <c r="D10" i="6"/>
  <c r="L867" i="1"/>
  <c r="G867"/>
  <c r="F867"/>
  <c r="E867"/>
  <c r="D867"/>
  <c r="K249"/>
  <c r="L110"/>
  <c r="K110"/>
  <c r="G110"/>
  <c r="F110"/>
  <c r="E110"/>
  <c r="D110"/>
  <c r="L537" l="1"/>
  <c r="K537"/>
  <c r="G537"/>
  <c r="F537"/>
  <c r="E537"/>
  <c r="D537"/>
  <c r="L182"/>
  <c r="K182"/>
  <c r="G182"/>
  <c r="F182"/>
  <c r="E182"/>
  <c r="D182"/>
  <c r="K704"/>
  <c r="J704"/>
  <c r="I704"/>
  <c r="G704"/>
  <c r="F704"/>
  <c r="E704"/>
  <c r="L704"/>
  <c r="D704"/>
  <c r="L525"/>
  <c r="K525"/>
  <c r="J525"/>
  <c r="I525"/>
  <c r="G525"/>
  <c r="F525"/>
  <c r="E525"/>
  <c r="D525"/>
  <c r="L450"/>
  <c r="G450"/>
  <c r="F450"/>
  <c r="E450"/>
  <c r="D450"/>
  <c r="L745"/>
  <c r="G745"/>
  <c r="F745"/>
  <c r="E745"/>
  <c r="D745"/>
  <c r="L648"/>
  <c r="K648"/>
  <c r="J648"/>
  <c r="I648"/>
  <c r="G648"/>
  <c r="F648"/>
  <c r="E648"/>
  <c r="D648"/>
  <c r="K1165"/>
  <c r="L1165"/>
  <c r="G1165"/>
  <c r="F1165"/>
  <c r="E1165"/>
  <c r="D1165"/>
  <c r="K878"/>
  <c r="L878"/>
  <c r="G878"/>
  <c r="F878"/>
  <c r="E878"/>
  <c r="D878"/>
  <c r="L1174"/>
  <c r="K1174"/>
  <c r="G1174"/>
  <c r="F1174"/>
  <c r="E1174"/>
  <c r="D1174"/>
  <c r="L1066"/>
  <c r="K1066"/>
  <c r="G1066"/>
  <c r="F1066"/>
  <c r="E1066"/>
  <c r="D1066"/>
  <c r="L422"/>
  <c r="L420"/>
  <c r="L418"/>
  <c r="G420"/>
  <c r="G422"/>
  <c r="G418"/>
  <c r="F420"/>
  <c r="F422"/>
  <c r="F418"/>
  <c r="D844"/>
  <c r="E420"/>
  <c r="E422"/>
  <c r="E418"/>
  <c r="D420"/>
  <c r="D422"/>
  <c r="D418"/>
  <c r="L844"/>
  <c r="G844"/>
  <c r="F844"/>
  <c r="E844"/>
  <c r="L762"/>
  <c r="K762"/>
  <c r="G762"/>
  <c r="F762"/>
  <c r="E762"/>
  <c r="D762"/>
  <c r="L780"/>
  <c r="G780"/>
  <c r="F780"/>
  <c r="E780"/>
  <c r="D780"/>
  <c r="L969" l="1"/>
  <c r="K969"/>
  <c r="G969"/>
  <c r="F969"/>
  <c r="E969"/>
  <c r="D969"/>
  <c r="L35"/>
  <c r="K35"/>
  <c r="J35"/>
  <c r="I35"/>
  <c r="G35"/>
  <c r="F35"/>
  <c r="E35"/>
  <c r="D35"/>
  <c r="G866"/>
  <c r="L866"/>
  <c r="F866"/>
  <c r="E866"/>
  <c r="D866"/>
  <c r="L1147"/>
  <c r="K1147"/>
  <c r="G1147"/>
  <c r="F1147"/>
  <c r="E1147"/>
  <c r="D1147"/>
  <c r="L702"/>
  <c r="G702"/>
  <c r="F702"/>
  <c r="E702"/>
  <c r="D702"/>
  <c r="L1106"/>
  <c r="K1106"/>
  <c r="G1106"/>
  <c r="F1106"/>
  <c r="E1106"/>
  <c r="D1106"/>
  <c r="G714"/>
  <c r="L714"/>
  <c r="F714"/>
  <c r="E714"/>
  <c r="D714"/>
  <c r="L779"/>
  <c r="G779"/>
  <c r="F779"/>
  <c r="E779"/>
  <c r="D779"/>
  <c r="L357"/>
  <c r="G357"/>
  <c r="F357"/>
  <c r="E357"/>
  <c r="D357"/>
  <c r="L209"/>
  <c r="F209"/>
  <c r="E209"/>
  <c r="D209"/>
  <c r="G209"/>
  <c r="K287"/>
  <c r="L71"/>
  <c r="G71"/>
  <c r="F71"/>
  <c r="E71"/>
  <c r="D71"/>
  <c r="L905"/>
  <c r="G905"/>
  <c r="F905"/>
  <c r="E905"/>
  <c r="D905"/>
  <c r="E472"/>
  <c r="L472"/>
  <c r="K472"/>
  <c r="G472"/>
  <c r="F472"/>
  <c r="D472"/>
  <c r="L614"/>
  <c r="K614"/>
  <c r="G614"/>
  <c r="F614"/>
  <c r="E614"/>
  <c r="D614"/>
  <c r="L513"/>
  <c r="G513"/>
  <c r="F513"/>
  <c r="E513"/>
  <c r="D513"/>
  <c r="L154"/>
  <c r="G154"/>
  <c r="F154"/>
  <c r="E154"/>
  <c r="D154"/>
  <c r="L678"/>
  <c r="K678"/>
  <c r="G678"/>
  <c r="F678"/>
  <c r="E678"/>
  <c r="D678"/>
  <c r="L543"/>
  <c r="G543"/>
  <c r="F543"/>
  <c r="E543"/>
  <c r="D543"/>
  <c r="L789"/>
  <c r="K789"/>
  <c r="G789"/>
  <c r="F789"/>
  <c r="E789"/>
  <c r="D789"/>
  <c r="L417"/>
  <c r="K417"/>
  <c r="G417"/>
  <c r="F417"/>
  <c r="E417"/>
  <c r="D417"/>
  <c r="L156"/>
  <c r="G156"/>
  <c r="F156"/>
  <c r="E156"/>
  <c r="D156"/>
  <c r="K806"/>
  <c r="L806"/>
  <c r="J806"/>
  <c r="I806"/>
  <c r="G806"/>
  <c r="F806"/>
  <c r="E806"/>
  <c r="D806"/>
  <c r="L365"/>
  <c r="K365"/>
  <c r="G365"/>
  <c r="E365"/>
  <c r="D365"/>
  <c r="K1103"/>
  <c r="L299"/>
  <c r="G299"/>
  <c r="F299"/>
  <c r="E299"/>
  <c r="D299"/>
  <c r="D282"/>
  <c r="L282"/>
  <c r="K282"/>
  <c r="G282"/>
  <c r="F282"/>
  <c r="E282"/>
  <c r="L284"/>
  <c r="G284"/>
  <c r="F284"/>
  <c r="E284"/>
  <c r="D284"/>
  <c r="L329"/>
  <c r="K329"/>
  <c r="G329"/>
  <c r="F329"/>
  <c r="E329"/>
  <c r="D329"/>
  <c r="L458"/>
  <c r="G458"/>
  <c r="F458"/>
  <c r="E458"/>
  <c r="D458"/>
  <c r="K759"/>
  <c r="L759"/>
  <c r="G759"/>
  <c r="F759"/>
  <c r="E759"/>
  <c r="D759"/>
  <c r="L27"/>
  <c r="K27"/>
  <c r="G27"/>
  <c r="F27"/>
  <c r="E27"/>
  <c r="D27"/>
  <c r="L1121"/>
  <c r="G1121"/>
  <c r="F1121"/>
  <c r="E1121"/>
  <c r="D1121"/>
  <c r="L989"/>
  <c r="K989"/>
  <c r="G989"/>
  <c r="F989"/>
  <c r="E989"/>
  <c r="D989"/>
  <c r="L918"/>
  <c r="K918"/>
  <c r="G918"/>
  <c r="F918"/>
  <c r="E918"/>
  <c r="D918"/>
  <c r="L293"/>
  <c r="K293"/>
  <c r="G293"/>
  <c r="F293"/>
  <c r="E293"/>
  <c r="D293"/>
  <c r="K218"/>
  <c r="L218"/>
  <c r="G218"/>
  <c r="F218"/>
  <c r="E218"/>
  <c r="D218"/>
  <c r="L144"/>
  <c r="K144"/>
  <c r="G144"/>
  <c r="F144"/>
  <c r="E144"/>
  <c r="D144"/>
  <c r="L743"/>
  <c r="K743"/>
  <c r="G743"/>
  <c r="F743"/>
  <c r="E743"/>
  <c r="D743"/>
  <c r="K542"/>
  <c r="L542"/>
  <c r="G542"/>
  <c r="F542"/>
  <c r="E542"/>
  <c r="D542"/>
  <c r="L585"/>
  <c r="K585"/>
  <c r="G585"/>
  <c r="F585"/>
  <c r="E585"/>
  <c r="D585"/>
  <c r="L368"/>
  <c r="K368"/>
  <c r="G368"/>
  <c r="F368"/>
  <c r="E368"/>
  <c r="D368"/>
  <c r="L954"/>
  <c r="G954"/>
  <c r="F954"/>
  <c r="E954"/>
  <c r="D954"/>
  <c r="L760"/>
  <c r="K760"/>
  <c r="G760"/>
  <c r="F760"/>
  <c r="E760"/>
  <c r="D760"/>
  <c r="K510"/>
  <c r="L627"/>
  <c r="G627"/>
  <c r="F627"/>
  <c r="E627"/>
  <c r="D627"/>
  <c r="L1083"/>
  <c r="G1083"/>
  <c r="F1083"/>
  <c r="E1083"/>
  <c r="D1083"/>
  <c r="L992"/>
  <c r="K992"/>
  <c r="G992"/>
  <c r="F992"/>
  <c r="E992"/>
  <c r="D992"/>
  <c r="K283"/>
  <c r="L281"/>
  <c r="K281"/>
  <c r="G281"/>
  <c r="F281"/>
  <c r="E281"/>
  <c r="D281"/>
  <c r="L660"/>
  <c r="K660"/>
  <c r="G660"/>
  <c r="F660"/>
  <c r="E660"/>
  <c r="D660"/>
  <c r="L87"/>
  <c r="K87"/>
  <c r="J87"/>
  <c r="I87"/>
  <c r="G87"/>
  <c r="F87"/>
  <c r="E87"/>
  <c r="D87"/>
  <c r="L1030"/>
  <c r="G1030"/>
  <c r="F1030"/>
  <c r="E1030"/>
  <c r="D1030"/>
  <c r="L331"/>
  <c r="K331"/>
  <c r="G331"/>
  <c r="F331"/>
  <c r="E331"/>
  <c r="D331"/>
  <c r="L435"/>
  <c r="G435"/>
  <c r="F435"/>
  <c r="E435"/>
  <c r="D435"/>
  <c r="L972"/>
  <c r="K972"/>
  <c r="G972"/>
  <c r="F972"/>
  <c r="E972"/>
  <c r="D972"/>
  <c r="L991"/>
  <c r="K991"/>
  <c r="G991"/>
  <c r="F991"/>
  <c r="E991"/>
  <c r="D991"/>
  <c r="L271"/>
  <c r="K271"/>
  <c r="G271"/>
  <c r="F271"/>
  <c r="E271"/>
  <c r="D271"/>
  <c r="L1080"/>
  <c r="K1080"/>
  <c r="G1080"/>
  <c r="F1080"/>
  <c r="E1080"/>
  <c r="D1080"/>
  <c r="K18"/>
  <c r="L18"/>
  <c r="G18"/>
  <c r="F18"/>
  <c r="E18"/>
  <c r="D18"/>
  <c r="L845"/>
  <c r="G845"/>
  <c r="F845"/>
  <c r="E845"/>
  <c r="D845"/>
  <c r="L29"/>
  <c r="G29"/>
  <c r="F29"/>
  <c r="E29"/>
  <c r="D29"/>
  <c r="L734"/>
  <c r="K734"/>
  <c r="G734"/>
  <c r="F734"/>
  <c r="E734"/>
  <c r="D734"/>
  <c r="L733"/>
  <c r="K733"/>
  <c r="G733"/>
  <c r="F733"/>
  <c r="E733"/>
  <c r="D733"/>
  <c r="L33"/>
  <c r="K33"/>
  <c r="G33"/>
  <c r="F33"/>
  <c r="E33"/>
  <c r="D33"/>
  <c r="L699"/>
  <c r="G699"/>
  <c r="F699"/>
  <c r="E699"/>
  <c r="D699"/>
  <c r="L1114"/>
  <c r="K1114"/>
  <c r="G1114"/>
  <c r="F1114"/>
  <c r="E1114"/>
  <c r="D1114"/>
  <c r="L436"/>
  <c r="G10"/>
  <c r="D10"/>
  <c r="L10"/>
  <c r="F10"/>
  <c r="E10"/>
  <c r="L427"/>
  <c r="K427"/>
  <c r="G427"/>
  <c r="F427"/>
  <c r="E427"/>
  <c r="D427"/>
  <c r="L1185"/>
  <c r="G1185"/>
  <c r="F1185"/>
  <c r="E1185"/>
  <c r="D1185"/>
  <c r="L654"/>
  <c r="G654"/>
  <c r="F654"/>
  <c r="E654"/>
  <c r="D654"/>
  <c r="L376"/>
  <c r="G376"/>
  <c r="F376"/>
  <c r="E376"/>
  <c r="D376"/>
  <c r="L952"/>
  <c r="G952"/>
  <c r="F952"/>
  <c r="E952"/>
  <c r="D952"/>
  <c r="L1049"/>
  <c r="G1049"/>
  <c r="F1049"/>
  <c r="E1049"/>
  <c r="D1049"/>
  <c r="L1028"/>
  <c r="G1028"/>
  <c r="F1028"/>
  <c r="E1028"/>
  <c r="D1028"/>
  <c r="K847"/>
  <c r="L1124"/>
  <c r="K1124"/>
  <c r="G1124"/>
  <c r="F1124"/>
  <c r="E1124"/>
  <c r="D1124"/>
  <c r="L352"/>
  <c r="K352"/>
  <c r="G352"/>
  <c r="F352"/>
  <c r="E352"/>
  <c r="D352"/>
  <c r="L169"/>
  <c r="G169"/>
  <c r="F169"/>
  <c r="E169"/>
  <c r="D169"/>
  <c r="L1123" l="1"/>
  <c r="K1123"/>
  <c r="G1123"/>
  <c r="F1123"/>
  <c r="E1123"/>
  <c r="D1123"/>
  <c r="L173"/>
  <c r="G173"/>
  <c r="F173"/>
  <c r="E173"/>
  <c r="D173"/>
  <c r="L170"/>
  <c r="G170"/>
  <c r="F170"/>
  <c r="E170"/>
  <c r="D170"/>
  <c r="L179"/>
  <c r="G179"/>
  <c r="F179"/>
  <c r="E179"/>
  <c r="D179"/>
  <c r="L168"/>
  <c r="G168"/>
  <c r="F168"/>
  <c r="E168"/>
  <c r="D168"/>
  <c r="L180"/>
  <c r="G180"/>
  <c r="F180"/>
  <c r="E180"/>
  <c r="D180"/>
  <c r="L175"/>
  <c r="G175"/>
  <c r="F175"/>
  <c r="E175"/>
  <c r="D175"/>
  <c r="L176"/>
  <c r="G176"/>
  <c r="F176"/>
  <c r="E176"/>
  <c r="D176"/>
  <c r="L171"/>
  <c r="G171"/>
  <c r="F171"/>
  <c r="E171"/>
  <c r="D171"/>
  <c r="L172"/>
  <c r="G172"/>
  <c r="F172"/>
  <c r="E172"/>
  <c r="D172"/>
  <c r="L28" l="1"/>
  <c r="K28"/>
  <c r="G28"/>
  <c r="F28"/>
  <c r="E28"/>
  <c r="D28"/>
  <c r="K544"/>
  <c r="L412"/>
  <c r="K412"/>
  <c r="E412"/>
  <c r="L411"/>
  <c r="K411"/>
  <c r="J411"/>
  <c r="I411"/>
  <c r="G411"/>
  <c r="F411"/>
  <c r="E411"/>
  <c r="D411"/>
  <c r="K233"/>
  <c r="J233"/>
  <c r="G233"/>
  <c r="E233"/>
  <c r="L233"/>
  <c r="I233"/>
  <c r="F233"/>
  <c r="D233"/>
  <c r="L999"/>
  <c r="K999"/>
  <c r="J999"/>
  <c r="I999"/>
  <c r="G999"/>
  <c r="F999"/>
  <c r="E999"/>
  <c r="D999"/>
  <c r="L848"/>
  <c r="K848"/>
  <c r="J848"/>
  <c r="I848"/>
  <c r="G848"/>
  <c r="F848"/>
  <c r="E848"/>
  <c r="D848"/>
  <c r="L382"/>
  <c r="K382"/>
  <c r="J382"/>
  <c r="I382"/>
  <c r="G382"/>
  <c r="F382"/>
  <c r="E382"/>
  <c r="D382"/>
  <c r="L360"/>
  <c r="K360"/>
  <c r="J360"/>
  <c r="I360"/>
  <c r="G360"/>
  <c r="F360"/>
  <c r="E360"/>
  <c r="D360"/>
  <c r="L800"/>
  <c r="K800"/>
  <c r="J800"/>
  <c r="I800"/>
  <c r="G800"/>
  <c r="F800"/>
  <c r="E800"/>
  <c r="D800"/>
  <c r="L608"/>
  <c r="K608"/>
  <c r="J608"/>
  <c r="I608"/>
  <c r="G608"/>
  <c r="F608"/>
  <c r="E608"/>
  <c r="D608"/>
  <c r="L677"/>
  <c r="K677"/>
  <c r="G677"/>
  <c r="F677"/>
  <c r="E677"/>
  <c r="D677"/>
  <c r="K1096"/>
  <c r="F936"/>
  <c r="E936"/>
  <c r="D936"/>
  <c r="L936"/>
  <c r="G936"/>
  <c r="L1057"/>
  <c r="K1057"/>
  <c r="G1057"/>
  <c r="F1057"/>
  <c r="E1057"/>
  <c r="D1057"/>
  <c r="G887"/>
  <c r="E887"/>
  <c r="L908"/>
  <c r="G908"/>
  <c r="F908"/>
  <c r="E908"/>
  <c r="D908"/>
  <c r="L816"/>
  <c r="G816"/>
  <c r="F816"/>
  <c r="E816"/>
  <c r="D816"/>
  <c r="L117"/>
  <c r="K117"/>
  <c r="J117"/>
  <c r="I117"/>
  <c r="G117"/>
  <c r="F117"/>
  <c r="E117"/>
  <c r="D117"/>
  <c r="L116"/>
  <c r="K116"/>
  <c r="J116"/>
  <c r="I116"/>
  <c r="G116"/>
  <c r="F116"/>
  <c r="E116"/>
  <c r="D116"/>
  <c r="L113"/>
  <c r="K113"/>
  <c r="J113"/>
  <c r="I113"/>
  <c r="G113"/>
  <c r="F113"/>
  <c r="E113"/>
  <c r="D113"/>
  <c r="L120"/>
  <c r="G120"/>
  <c r="F120"/>
  <c r="E120"/>
  <c r="D120"/>
  <c r="L115"/>
  <c r="K115"/>
  <c r="J115"/>
  <c r="I115"/>
  <c r="G115"/>
  <c r="F115"/>
  <c r="E115"/>
  <c r="D115"/>
  <c r="L121"/>
  <c r="K121"/>
  <c r="J121"/>
  <c r="I121"/>
  <c r="G121"/>
  <c r="F121"/>
  <c r="E121"/>
  <c r="D121"/>
  <c r="L119"/>
  <c r="K119"/>
  <c r="J119"/>
  <c r="I119"/>
  <c r="G119"/>
  <c r="F119"/>
  <c r="E119"/>
  <c r="D119"/>
  <c r="L114"/>
  <c r="K114"/>
  <c r="J114"/>
  <c r="I114"/>
  <c r="G114"/>
  <c r="F114"/>
  <c r="E114"/>
  <c r="D114"/>
  <c r="L118"/>
  <c r="K118"/>
  <c r="J118"/>
  <c r="I118"/>
  <c r="G118"/>
  <c r="F118"/>
  <c r="E118"/>
  <c r="D118"/>
  <c r="L122"/>
  <c r="K122"/>
  <c r="J122"/>
  <c r="I122"/>
  <c r="G122"/>
  <c r="F122"/>
  <c r="E122"/>
  <c r="D122"/>
  <c r="K1001" l="1"/>
  <c r="K993"/>
  <c r="L571"/>
  <c r="K571"/>
  <c r="G571"/>
  <c r="F571"/>
  <c r="E571"/>
  <c r="D571"/>
  <c r="L389"/>
  <c r="K389"/>
  <c r="G389"/>
  <c r="F389"/>
  <c r="E389"/>
  <c r="D389"/>
  <c r="L390"/>
  <c r="G390"/>
  <c r="F390"/>
  <c r="E390"/>
  <c r="D390"/>
  <c r="L363"/>
  <c r="K363"/>
  <c r="G363"/>
  <c r="F363"/>
  <c r="E363"/>
  <c r="D363"/>
  <c r="K1180"/>
  <c r="F1180"/>
  <c r="L1180"/>
  <c r="G1180"/>
  <c r="E1180"/>
  <c r="D1180"/>
  <c r="L970"/>
  <c r="K970"/>
  <c r="G970"/>
  <c r="F970"/>
  <c r="E970"/>
  <c r="D970"/>
  <c r="G973"/>
  <c r="L104"/>
  <c r="G104"/>
  <c r="F104"/>
  <c r="E104"/>
  <c r="D104"/>
  <c r="K104"/>
  <c r="J104"/>
  <c r="I104"/>
  <c r="L353"/>
  <c r="K353"/>
  <c r="G353"/>
  <c r="F353"/>
  <c r="E353"/>
  <c r="D353"/>
  <c r="L679"/>
  <c r="K679"/>
  <c r="G679"/>
  <c r="F679"/>
  <c r="E679"/>
  <c r="D679"/>
  <c r="L559"/>
  <c r="K559"/>
  <c r="G559"/>
  <c r="F559"/>
  <c r="E559"/>
  <c r="D559"/>
  <c r="L847"/>
  <c r="G847"/>
  <c r="F847"/>
  <c r="E847"/>
  <c r="D847"/>
  <c r="L938"/>
  <c r="K938"/>
  <c r="G938"/>
  <c r="F938"/>
  <c r="E938"/>
  <c r="D938"/>
  <c r="L993"/>
  <c r="J993"/>
  <c r="I993"/>
  <c r="G993"/>
  <c r="F993"/>
  <c r="E993"/>
  <c r="D993"/>
  <c r="E1096"/>
  <c r="L1096"/>
  <c r="G1096"/>
  <c r="F1096"/>
  <c r="D1096"/>
  <c r="L658"/>
  <c r="L628"/>
  <c r="G628"/>
  <c r="F628"/>
  <c r="E628"/>
  <c r="D628"/>
  <c r="D1005"/>
  <c r="L1005"/>
  <c r="G1005"/>
  <c r="F1005"/>
  <c r="E1005"/>
  <c r="G1001"/>
  <c r="L268"/>
  <c r="K268"/>
  <c r="G268"/>
  <c r="F268"/>
  <c r="E268"/>
  <c r="D268"/>
  <c r="L959"/>
  <c r="G959"/>
  <c r="F959"/>
  <c r="E959"/>
  <c r="D959"/>
  <c r="K705"/>
  <c r="I705"/>
  <c r="G705"/>
  <c r="E705"/>
  <c r="D705"/>
  <c r="L705"/>
  <c r="J705"/>
  <c r="F705"/>
  <c r="L840"/>
  <c r="K840"/>
  <c r="G840"/>
  <c r="F840"/>
  <c r="E840"/>
  <c r="D840"/>
  <c r="L611"/>
  <c r="G611"/>
  <c r="F611"/>
  <c r="E611"/>
  <c r="D611"/>
  <c r="G1181"/>
  <c r="L1181"/>
  <c r="K1181"/>
  <c r="F1181"/>
  <c r="E1181"/>
  <c r="D1181"/>
  <c r="L612"/>
  <c r="K612"/>
  <c r="G612"/>
  <c r="F612"/>
  <c r="E612"/>
  <c r="D612"/>
  <c r="L206"/>
  <c r="K206"/>
  <c r="G206"/>
  <c r="F206"/>
  <c r="E206"/>
  <c r="D206"/>
  <c r="L1088"/>
  <c r="G1088"/>
  <c r="F1088"/>
  <c r="E1088"/>
  <c r="D1088"/>
  <c r="L334"/>
  <c r="K334"/>
  <c r="G334"/>
  <c r="F334"/>
  <c r="E334"/>
  <c r="D334"/>
  <c r="L746"/>
  <c r="K746"/>
  <c r="G746"/>
  <c r="F746"/>
  <c r="E746"/>
  <c r="D746"/>
  <c r="L1081"/>
  <c r="G1081"/>
  <c r="F1081"/>
  <c r="E1081"/>
  <c r="D1081"/>
  <c r="L519" l="1"/>
  <c r="G519"/>
  <c r="F519"/>
  <c r="E519"/>
  <c r="D519"/>
  <c r="L975"/>
  <c r="K975"/>
  <c r="G975"/>
  <c r="F975"/>
  <c r="E975"/>
  <c r="D975"/>
  <c r="L249"/>
  <c r="G249"/>
  <c r="F249"/>
  <c r="E249"/>
  <c r="D249"/>
  <c r="L594"/>
  <c r="K594"/>
  <c r="G594"/>
  <c r="F594"/>
  <c r="E594"/>
  <c r="D594"/>
  <c r="L739"/>
  <c r="G739"/>
  <c r="F739"/>
  <c r="E739"/>
  <c r="D739"/>
  <c r="L990"/>
  <c r="G990"/>
  <c r="F990"/>
  <c r="E990"/>
  <c r="D990"/>
  <c r="L322"/>
  <c r="G322"/>
  <c r="F322"/>
  <c r="E322"/>
  <c r="D322"/>
  <c r="L278"/>
  <c r="G278"/>
  <c r="F278"/>
  <c r="E278"/>
  <c r="D278"/>
  <c r="G17"/>
  <c r="F17"/>
  <c r="E17"/>
  <c r="D17"/>
  <c r="L17"/>
  <c r="L1137"/>
  <c r="G1137"/>
  <c r="F1137"/>
  <c r="E1137"/>
  <c r="D1137"/>
  <c r="L320"/>
  <c r="K320"/>
  <c r="G320"/>
  <c r="F320"/>
  <c r="E320"/>
  <c r="D320"/>
  <c r="D319"/>
  <c r="L319"/>
  <c r="K319"/>
  <c r="J319"/>
  <c r="I319"/>
  <c r="G319"/>
  <c r="F319"/>
  <c r="E319"/>
  <c r="L253"/>
  <c r="G253"/>
  <c r="F253"/>
  <c r="E253"/>
  <c r="D253"/>
  <c r="L1023"/>
  <c r="G1023"/>
  <c r="F1023"/>
  <c r="E1023"/>
  <c r="D1023"/>
  <c r="D38"/>
  <c r="L38"/>
  <c r="K38"/>
  <c r="J38"/>
  <c r="I38"/>
  <c r="G38"/>
  <c r="F38"/>
  <c r="E38"/>
  <c r="L973"/>
  <c r="K973"/>
  <c r="F973"/>
  <c r="E973"/>
  <c r="D973"/>
  <c r="G774"/>
  <c r="F774"/>
  <c r="E774"/>
  <c r="D774"/>
  <c r="L774"/>
  <c r="L773"/>
  <c r="K773"/>
  <c r="G773"/>
  <c r="F773"/>
  <c r="E773"/>
  <c r="D773"/>
  <c r="L1110"/>
  <c r="G1110"/>
  <c r="F1110"/>
  <c r="E1110"/>
  <c r="D1110"/>
  <c r="L358"/>
  <c r="G358"/>
  <c r="F358"/>
  <c r="E358"/>
  <c r="D358"/>
  <c r="L823"/>
  <c r="K823"/>
  <c r="G823"/>
  <c r="F823"/>
  <c r="E823"/>
  <c r="D823"/>
  <c r="L127" l="1"/>
  <c r="G127"/>
  <c r="F127"/>
  <c r="E127"/>
  <c r="D127"/>
  <c r="L1037"/>
  <c r="K1037"/>
  <c r="J1037"/>
  <c r="I1037"/>
  <c r="G1037"/>
  <c r="F1037"/>
  <c r="E1037"/>
  <c r="D1037"/>
  <c r="L1025"/>
  <c r="K1025"/>
  <c r="G1025"/>
  <c r="F1025"/>
  <c r="E1025"/>
  <c r="D1025"/>
  <c r="L581"/>
  <c r="K581"/>
  <c r="G581"/>
  <c r="F581"/>
  <c r="E581"/>
  <c r="D581"/>
  <c r="L735"/>
  <c r="K735"/>
  <c r="G735"/>
  <c r="F735"/>
  <c r="E735"/>
  <c r="D735"/>
  <c r="L272"/>
  <c r="G272"/>
  <c r="F272"/>
  <c r="E272"/>
  <c r="D272"/>
  <c r="L68"/>
  <c r="L466"/>
  <c r="L465"/>
  <c r="K466"/>
  <c r="K465"/>
  <c r="J466"/>
  <c r="J465"/>
  <c r="I466"/>
  <c r="I465"/>
  <c r="G466"/>
  <c r="G465"/>
  <c r="F466"/>
  <c r="F465"/>
  <c r="E466"/>
  <c r="E465"/>
  <c r="D466"/>
  <c r="D465"/>
  <c r="J968"/>
  <c r="I968"/>
  <c r="J971"/>
  <c r="I971"/>
  <c r="L971"/>
  <c r="K971"/>
  <c r="G971"/>
  <c r="F971"/>
  <c r="E971"/>
  <c r="D971"/>
  <c r="L1011"/>
  <c r="K1011"/>
  <c r="G1011"/>
  <c r="F1011"/>
  <c r="E1011"/>
  <c r="D1011"/>
  <c r="L1076"/>
  <c r="G1076"/>
  <c r="F1076"/>
  <c r="E1076"/>
  <c r="D1076"/>
  <c r="G694"/>
  <c r="F694"/>
  <c r="E694"/>
  <c r="D694"/>
  <c r="G691"/>
  <c r="F691"/>
  <c r="E691"/>
  <c r="D691"/>
  <c r="L1069"/>
  <c r="G1069"/>
  <c r="F1069"/>
  <c r="E1069"/>
  <c r="D1069"/>
  <c r="G692"/>
  <c r="F692"/>
  <c r="E692"/>
  <c r="D692"/>
  <c r="G693"/>
  <c r="F693"/>
  <c r="E693"/>
  <c r="D693"/>
  <c r="L1034"/>
  <c r="L968"/>
  <c r="K968"/>
  <c r="G968"/>
  <c r="F968"/>
  <c r="E968"/>
  <c r="D968"/>
  <c r="L446"/>
  <c r="G446"/>
  <c r="F446"/>
  <c r="E446"/>
  <c r="D446"/>
  <c r="L445"/>
  <c r="G445"/>
  <c r="F445"/>
  <c r="E445"/>
  <c r="D445"/>
  <c r="L892" l="1"/>
  <c r="K892"/>
  <c r="G892"/>
  <c r="F892"/>
  <c r="E892"/>
  <c r="D892"/>
  <c r="L587"/>
  <c r="G587"/>
  <c r="F587"/>
  <c r="E587"/>
  <c r="D587"/>
  <c r="L632"/>
  <c r="G632"/>
  <c r="F632"/>
  <c r="E632"/>
  <c r="D632"/>
  <c r="L661"/>
  <c r="G661"/>
  <c r="F661"/>
  <c r="E661"/>
  <c r="D661"/>
  <c r="K661"/>
  <c r="G269" l="1"/>
  <c r="F269"/>
  <c r="E269"/>
  <c r="D269"/>
  <c r="L269"/>
  <c r="K269"/>
  <c r="L270"/>
  <c r="K270"/>
  <c r="G270"/>
  <c r="F270"/>
  <c r="E270"/>
  <c r="D270"/>
  <c r="L1008" l="1"/>
  <c r="G1008"/>
  <c r="F1008"/>
  <c r="E1008"/>
  <c r="D1008"/>
  <c r="L749"/>
  <c r="G749"/>
  <c r="F749"/>
  <c r="E749"/>
  <c r="D749"/>
  <c r="G380"/>
  <c r="L380"/>
  <c r="F380"/>
  <c r="E380"/>
  <c r="D380"/>
  <c r="L870"/>
  <c r="G870"/>
  <c r="F870"/>
  <c r="E870"/>
  <c r="D870"/>
  <c r="L1073"/>
  <c r="G1073"/>
  <c r="F1073"/>
  <c r="E1073"/>
  <c r="D1073"/>
  <c r="L1169"/>
  <c r="K1169"/>
  <c r="G1169"/>
  <c r="F1169"/>
  <c r="E1169"/>
  <c r="D1169"/>
  <c r="K742"/>
  <c r="L742"/>
  <c r="G742"/>
  <c r="F742"/>
  <c r="E742"/>
  <c r="D742"/>
  <c r="G264" l="1"/>
  <c r="F264"/>
  <c r="E264"/>
  <c r="D264"/>
  <c r="L264"/>
  <c r="L958" l="1"/>
  <c r="G958"/>
  <c r="F958"/>
  <c r="E958"/>
  <c r="D958"/>
  <c r="L102"/>
  <c r="G102"/>
  <c r="F102"/>
  <c r="E102"/>
  <c r="D102"/>
  <c r="L355"/>
  <c r="K355"/>
  <c r="J355"/>
  <c r="I355"/>
  <c r="G355"/>
  <c r="F355"/>
  <c r="E355"/>
  <c r="D355"/>
  <c r="L379"/>
  <c r="G379"/>
  <c r="F379"/>
  <c r="E379"/>
  <c r="D379"/>
  <c r="L1108"/>
  <c r="G1108"/>
  <c r="E1108"/>
  <c r="D1108"/>
  <c r="K1108"/>
  <c r="J1108"/>
  <c r="I1108"/>
  <c r="F1108"/>
  <c r="L44"/>
  <c r="K44"/>
  <c r="G44"/>
  <c r="F44"/>
  <c r="E44"/>
  <c r="D44"/>
  <c r="G1078"/>
  <c r="L1078"/>
  <c r="F1078"/>
  <c r="E1078"/>
  <c r="D1078"/>
  <c r="G753" l="1"/>
  <c r="F753"/>
  <c r="E753"/>
  <c r="D753"/>
  <c r="L753"/>
  <c r="K753"/>
  <c r="G748"/>
  <c r="F748"/>
  <c r="E748"/>
  <c r="D748"/>
  <c r="L748"/>
  <c r="L444"/>
  <c r="L1077" l="1"/>
  <c r="G1077"/>
  <c r="F1077"/>
  <c r="E1077"/>
  <c r="D1077"/>
  <c r="L1164"/>
  <c r="K1164"/>
  <c r="G1164"/>
  <c r="F1164"/>
  <c r="E1164"/>
  <c r="D1164"/>
  <c r="L944"/>
  <c r="K944"/>
  <c r="G944"/>
  <c r="F944"/>
  <c r="E944"/>
  <c r="D944"/>
  <c r="G659"/>
  <c r="F659"/>
  <c r="E659"/>
  <c r="D659"/>
  <c r="L659"/>
  <c r="D200" l="1"/>
  <c r="L200"/>
  <c r="K200"/>
  <c r="G200"/>
  <c r="F200"/>
  <c r="E200"/>
  <c r="L1082"/>
  <c r="K1082"/>
  <c r="G1082"/>
  <c r="F1082"/>
  <c r="E1082"/>
  <c r="D1082"/>
  <c r="L601"/>
  <c r="K601"/>
  <c r="G601"/>
  <c r="F601"/>
  <c r="E601"/>
  <c r="D601"/>
  <c r="G316"/>
  <c r="F316"/>
  <c r="E316"/>
  <c r="D316"/>
  <c r="L316"/>
  <c r="K316"/>
  <c r="G463"/>
  <c r="F463"/>
  <c r="E463"/>
  <c r="D463"/>
  <c r="L463"/>
  <c r="G865" l="1"/>
  <c r="F865"/>
  <c r="E865"/>
  <c r="D865"/>
  <c r="L865"/>
  <c r="G1004"/>
  <c r="F1004"/>
  <c r="E1004"/>
  <c r="D1004"/>
  <c r="L1004"/>
  <c r="L598"/>
  <c r="K598"/>
  <c r="G598"/>
  <c r="F598"/>
  <c r="E598"/>
  <c r="D598"/>
  <c r="L597" l="1"/>
  <c r="G1178"/>
  <c r="F1178"/>
  <c r="E1178"/>
  <c r="D1178"/>
  <c r="L1178"/>
  <c r="L354"/>
  <c r="K354"/>
  <c r="J354"/>
  <c r="I354"/>
  <c r="G354"/>
  <c r="F354"/>
  <c r="E354"/>
  <c r="D354"/>
  <c r="G872"/>
  <c r="F872"/>
  <c r="E872"/>
  <c r="D872"/>
  <c r="L872"/>
  <c r="L1140"/>
  <c r="K1140"/>
  <c r="G1140"/>
  <c r="F1140"/>
  <c r="E1140"/>
  <c r="D1140"/>
  <c r="G1139"/>
  <c r="F1139"/>
  <c r="E1139"/>
  <c r="D1139"/>
  <c r="L1139"/>
  <c r="K1139"/>
  <c r="G1102"/>
  <c r="F1102"/>
  <c r="E1102"/>
  <c r="D1102"/>
  <c r="L1102"/>
  <c r="L467" l="1"/>
  <c r="G467"/>
  <c r="F467"/>
  <c r="E467"/>
  <c r="D467"/>
  <c r="L553"/>
  <c r="G553"/>
  <c r="F553"/>
  <c r="E553"/>
  <c r="D553"/>
  <c r="L1187"/>
  <c r="K1187"/>
  <c r="J1187"/>
  <c r="I1187"/>
  <c r="G1187"/>
  <c r="F1187"/>
  <c r="E1187"/>
  <c r="D1187"/>
  <c r="J831"/>
  <c r="I831"/>
  <c r="K831"/>
  <c r="G831"/>
  <c r="F831"/>
  <c r="E831"/>
  <c r="D831"/>
  <c r="L831"/>
  <c r="L41" l="1"/>
  <c r="K41"/>
  <c r="J41"/>
  <c r="I41"/>
  <c r="G41"/>
  <c r="F41"/>
  <c r="E41"/>
  <c r="D41"/>
  <c r="L756" l="1"/>
  <c r="K756"/>
  <c r="J756"/>
  <c r="I756"/>
  <c r="G756"/>
  <c r="F756"/>
  <c r="E756"/>
  <c r="D756"/>
  <c r="L66"/>
  <c r="F66"/>
  <c r="E66"/>
  <c r="D66"/>
  <c r="G66"/>
  <c r="L639"/>
  <c r="G639"/>
  <c r="F639"/>
  <c r="E639"/>
  <c r="D639"/>
  <c r="G858"/>
  <c r="F858"/>
  <c r="E858"/>
  <c r="D858"/>
  <c r="L858"/>
  <c r="G1130"/>
  <c r="F1130"/>
  <c r="E1130"/>
  <c r="D1130"/>
  <c r="L1130"/>
  <c r="K1130"/>
  <c r="G401"/>
  <c r="G459"/>
  <c r="F459"/>
  <c r="E459"/>
  <c r="D459"/>
  <c r="L459"/>
  <c r="G345"/>
  <c r="F345"/>
  <c r="E345"/>
  <c r="D345"/>
  <c r="L345"/>
  <c r="L82"/>
  <c r="E491"/>
  <c r="G491"/>
  <c r="G490"/>
  <c r="F491"/>
  <c r="F490"/>
  <c r="E490"/>
  <c r="D491"/>
  <c r="D490"/>
  <c r="L491"/>
  <c r="L490"/>
  <c r="G494"/>
  <c r="F494"/>
  <c r="E494"/>
  <c r="D494"/>
  <c r="L494"/>
  <c r="G449"/>
  <c r="F449"/>
  <c r="E449"/>
  <c r="D449"/>
  <c r="L449"/>
  <c r="G498"/>
  <c r="F498"/>
  <c r="E498"/>
  <c r="D498"/>
  <c r="L498"/>
  <c r="G351"/>
  <c r="F351"/>
  <c r="E351"/>
  <c r="D351"/>
  <c r="L351"/>
  <c r="K351"/>
  <c r="G341"/>
  <c r="F341"/>
  <c r="E341"/>
  <c r="D341"/>
  <c r="L341"/>
  <c r="G67"/>
  <c r="F67"/>
  <c r="E67"/>
  <c r="D67"/>
  <c r="L67"/>
  <c r="G275"/>
  <c r="F275"/>
  <c r="E275"/>
  <c r="D275"/>
  <c r="L275"/>
  <c r="K275"/>
  <c r="J275"/>
  <c r="I275"/>
  <c r="L907"/>
  <c r="G907"/>
  <c r="F907"/>
  <c r="E907"/>
  <c r="D907"/>
  <c r="G428"/>
  <c r="F428"/>
  <c r="E428"/>
  <c r="D428"/>
  <c r="L428"/>
  <c r="L410"/>
  <c r="K410"/>
  <c r="I406"/>
  <c r="J406"/>
  <c r="G1009"/>
  <c r="F1009"/>
  <c r="E1009"/>
  <c r="D1009"/>
  <c r="L1009"/>
  <c r="G1167"/>
  <c r="F1167"/>
  <c r="E1167"/>
  <c r="D1167"/>
  <c r="L1167"/>
  <c r="G658"/>
  <c r="E658"/>
  <c r="D658"/>
  <c r="K658"/>
  <c r="J658"/>
  <c r="I658"/>
  <c r="F658"/>
  <c r="D941"/>
  <c r="G941"/>
  <c r="F941"/>
  <c r="E941"/>
  <c r="L941"/>
  <c r="L487"/>
  <c r="G487"/>
  <c r="F487"/>
  <c r="E487"/>
  <c r="D487"/>
  <c r="K487"/>
  <c r="J487"/>
  <c r="I487"/>
  <c r="L584"/>
  <c r="K584"/>
  <c r="J584"/>
  <c r="I584"/>
  <c r="G584"/>
  <c r="F584"/>
  <c r="E584"/>
  <c r="D584"/>
  <c r="G1146"/>
  <c r="F1146"/>
  <c r="E1146"/>
  <c r="D1146"/>
  <c r="L1146"/>
  <c r="G1043"/>
  <c r="F1043"/>
  <c r="E1043"/>
  <c r="D1043"/>
  <c r="L1043"/>
  <c r="K1043"/>
  <c r="G460"/>
  <c r="F460"/>
  <c r="E460"/>
  <c r="D460"/>
  <c r="L460"/>
  <c r="G805"/>
  <c r="F805"/>
  <c r="E805"/>
  <c r="D805"/>
  <c r="L805"/>
  <c r="G1166"/>
  <c r="F1166"/>
  <c r="E1166"/>
  <c r="D1166"/>
  <c r="L1166"/>
  <c r="K1166"/>
  <c r="L568"/>
  <c r="K568"/>
  <c r="J568"/>
  <c r="I568"/>
  <c r="G568"/>
  <c r="F568"/>
  <c r="E568"/>
  <c r="D568"/>
  <c r="G792"/>
  <c r="F792"/>
  <c r="E792"/>
  <c r="D792"/>
  <c r="L792"/>
  <c r="G605"/>
  <c r="F605"/>
  <c r="E605"/>
  <c r="D605"/>
  <c r="L605"/>
  <c r="G6"/>
  <c r="F6"/>
  <c r="E6"/>
  <c r="D6"/>
  <c r="L6"/>
  <c r="G515"/>
  <c r="F515"/>
  <c r="E515"/>
  <c r="D515"/>
  <c r="L515"/>
  <c r="G426"/>
  <c r="G217"/>
  <c r="F426"/>
  <c r="F217"/>
  <c r="E426"/>
  <c r="E217"/>
  <c r="D426"/>
  <c r="D217"/>
  <c r="L426"/>
  <c r="L217"/>
  <c r="L208" l="1"/>
  <c r="L1107" l="1"/>
  <c r="L7"/>
  <c r="G7"/>
  <c r="F7"/>
  <c r="E7"/>
  <c r="D7"/>
  <c r="G398"/>
  <c r="F398"/>
  <c r="E398"/>
  <c r="D398"/>
  <c r="E191"/>
  <c r="G191"/>
  <c r="F191"/>
  <c r="D191"/>
  <c r="L191"/>
  <c r="G190"/>
  <c r="F190"/>
  <c r="E190"/>
  <c r="D190"/>
  <c r="L190"/>
  <c r="L1160"/>
  <c r="G1160"/>
  <c r="F1160"/>
  <c r="E1160"/>
  <c r="D1160"/>
  <c r="G230"/>
  <c r="F230"/>
  <c r="E230"/>
  <c r="D230"/>
  <c r="L230"/>
  <c r="L701"/>
  <c r="L323"/>
  <c r="G323"/>
  <c r="F323"/>
  <c r="E323"/>
  <c r="D323"/>
  <c r="L432" l="1"/>
  <c r="G432"/>
  <c r="F432"/>
  <c r="E432"/>
  <c r="D432"/>
  <c r="G1072" l="1"/>
  <c r="F1072"/>
  <c r="E1072"/>
  <c r="D1072"/>
  <c r="L1072"/>
  <c r="K1072"/>
  <c r="D549"/>
  <c r="L549"/>
  <c r="K549"/>
  <c r="J549"/>
  <c r="I549"/>
  <c r="G549"/>
  <c r="F549"/>
  <c r="E549"/>
  <c r="G1142"/>
  <c r="L1142"/>
  <c r="L1141"/>
  <c r="K1142"/>
  <c r="K1141"/>
  <c r="J1142"/>
  <c r="J1141"/>
  <c r="I1142"/>
  <c r="I1141"/>
  <c r="G1141"/>
  <c r="F1142"/>
  <c r="F1141"/>
  <c r="E1142"/>
  <c r="E1141"/>
  <c r="D1142"/>
  <c r="D1141"/>
  <c r="E809"/>
  <c r="G809"/>
  <c r="F809"/>
  <c r="D809"/>
  <c r="L809"/>
  <c r="G850"/>
  <c r="F850"/>
  <c r="E850"/>
  <c r="D850"/>
  <c r="L850"/>
  <c r="G1162"/>
  <c r="G1161"/>
  <c r="F1162"/>
  <c r="F1161"/>
  <c r="E1162"/>
  <c r="E1161"/>
  <c r="D1162"/>
  <c r="D1161"/>
  <c r="L1162"/>
  <c r="L1161"/>
  <c r="G961"/>
  <c r="F961"/>
  <c r="E961"/>
  <c r="D961"/>
  <c r="L961"/>
  <c r="G266"/>
  <c r="F266"/>
  <c r="E266"/>
  <c r="D266"/>
  <c r="L266"/>
  <c r="G186"/>
  <c r="F186"/>
  <c r="E186"/>
  <c r="D186"/>
  <c r="G771"/>
  <c r="F771"/>
  <c r="E771"/>
  <c r="D771"/>
  <c r="L771"/>
  <c r="K771"/>
  <c r="G569"/>
  <c r="F569"/>
  <c r="E569"/>
  <c r="D569"/>
  <c r="L569"/>
  <c r="L849"/>
  <c r="K849"/>
  <c r="J849"/>
  <c r="I849"/>
  <c r="G849"/>
  <c r="F849"/>
  <c r="E849"/>
  <c r="D849"/>
  <c r="L829"/>
  <c r="K829"/>
  <c r="J829"/>
  <c r="I829"/>
  <c r="G829"/>
  <c r="F829"/>
  <c r="E829"/>
  <c r="D829"/>
  <c r="G409"/>
  <c r="F409"/>
  <c r="E409"/>
  <c r="D409"/>
  <c r="L409"/>
  <c r="K409"/>
  <c r="G630"/>
  <c r="F630"/>
  <c r="E630"/>
  <c r="D630"/>
  <c r="L630"/>
  <c r="K630"/>
  <c r="L852"/>
  <c r="G852"/>
  <c r="F852"/>
  <c r="E852"/>
  <c r="D852"/>
  <c r="L923"/>
  <c r="G923"/>
  <c r="F923"/>
  <c r="E923"/>
  <c r="D923"/>
  <c r="G876"/>
  <c r="F876"/>
  <c r="E876"/>
  <c r="D876"/>
  <c r="L876"/>
  <c r="L1144"/>
  <c r="G374"/>
  <c r="F374"/>
  <c r="E374"/>
  <c r="D374"/>
  <c r="L374"/>
  <c r="K374"/>
  <c r="G562"/>
  <c r="F562"/>
  <c r="E562"/>
  <c r="D562"/>
  <c r="L562"/>
  <c r="G1024"/>
  <c r="F1024"/>
  <c r="E1024"/>
  <c r="D1024"/>
  <c r="L1024"/>
  <c r="K1024"/>
  <c r="G590"/>
  <c r="F590"/>
  <c r="E590"/>
  <c r="D590"/>
  <c r="L590"/>
  <c r="K590"/>
  <c r="G752"/>
  <c r="F752"/>
  <c r="E752"/>
  <c r="D752"/>
  <c r="G1079"/>
  <c r="F1079"/>
  <c r="E1079"/>
  <c r="D1079"/>
  <c r="L1079"/>
  <c r="L245"/>
  <c r="G245"/>
  <c r="F245"/>
  <c r="E245"/>
  <c r="D245"/>
  <c r="G738" l="1"/>
  <c r="F738"/>
  <c r="E738"/>
  <c r="D738"/>
  <c r="L738"/>
  <c r="K738"/>
  <c r="F854"/>
  <c r="E854"/>
  <c r="D854"/>
  <c r="G854"/>
  <c r="L854"/>
  <c r="G1068"/>
  <c r="F1068"/>
  <c r="E1068"/>
  <c r="D1068"/>
  <c r="L1068"/>
  <c r="G948"/>
  <c r="F948"/>
  <c r="E948"/>
  <c r="D948"/>
  <c r="L948"/>
  <c r="L1029" l="1"/>
  <c r="K1029"/>
  <c r="J1029"/>
  <c r="I1029"/>
  <c r="G1029"/>
  <c r="F1029"/>
  <c r="E1029"/>
  <c r="D1029"/>
  <c r="L647"/>
  <c r="K647"/>
  <c r="J647"/>
  <c r="I647"/>
  <c r="G647"/>
  <c r="F647"/>
  <c r="E647"/>
  <c r="D647"/>
  <c r="G548" l="1"/>
  <c r="F548"/>
  <c r="E548"/>
  <c r="D548"/>
  <c r="L548"/>
  <c r="L953" l="1"/>
  <c r="K953"/>
  <c r="G953"/>
  <c r="F953"/>
  <c r="E953"/>
  <c r="D953"/>
  <c r="L55"/>
  <c r="L556"/>
  <c r="G300"/>
  <c r="F300"/>
  <c r="E300"/>
  <c r="D300"/>
  <c r="L300"/>
  <c r="G772"/>
  <c r="F772"/>
  <c r="E772"/>
  <c r="D772"/>
  <c r="L772"/>
  <c r="K772"/>
  <c r="L550"/>
  <c r="G402"/>
  <c r="G399"/>
  <c r="F402"/>
  <c r="F399"/>
  <c r="E402"/>
  <c r="E399"/>
  <c r="D402"/>
  <c r="D399"/>
  <c r="L402"/>
  <c r="L399"/>
  <c r="K402"/>
  <c r="K399"/>
  <c r="G851"/>
  <c r="F851"/>
  <c r="E851"/>
  <c r="D851"/>
  <c r="L851"/>
  <c r="G843"/>
  <c r="F843"/>
  <c r="E843"/>
  <c r="D843"/>
  <c r="L843"/>
  <c r="K843"/>
  <c r="G301"/>
  <c r="F301"/>
  <c r="E301"/>
  <c r="D301"/>
  <c r="L301"/>
  <c r="G787"/>
  <c r="F787"/>
  <c r="E787"/>
  <c r="D787"/>
  <c r="L787"/>
  <c r="L995" l="1"/>
  <c r="K995"/>
  <c r="J995"/>
  <c r="I995"/>
  <c r="G995"/>
  <c r="F995"/>
  <c r="E995"/>
  <c r="D995"/>
  <c r="L879"/>
  <c r="K879"/>
  <c r="G879"/>
  <c r="F879"/>
  <c r="E879"/>
  <c r="D879"/>
  <c r="L298"/>
  <c r="G298"/>
  <c r="F298"/>
  <c r="E298"/>
  <c r="D298"/>
  <c r="L492"/>
  <c r="G492"/>
  <c r="F492"/>
  <c r="E492"/>
  <c r="D492"/>
  <c r="L408"/>
  <c r="K408"/>
  <c r="G408"/>
  <c r="F408"/>
  <c r="E408"/>
  <c r="D408"/>
  <c r="L871" l="1"/>
  <c r="G871"/>
  <c r="F871"/>
  <c r="E871"/>
  <c r="D871"/>
  <c r="D757" l="1"/>
  <c r="E757"/>
  <c r="F757"/>
  <c r="G757"/>
  <c r="I757"/>
  <c r="J757"/>
  <c r="K757"/>
  <c r="L757"/>
  <c r="D27" i="2" l="1"/>
  <c r="D28" s="1"/>
  <c r="L1016" i="1"/>
  <c r="G1016"/>
  <c r="F1016"/>
  <c r="E1016"/>
  <c r="D1016"/>
  <c r="L520"/>
  <c r="G520"/>
  <c r="F520"/>
  <c r="E520"/>
  <c r="D520"/>
  <c r="L1149"/>
  <c r="G1149"/>
  <c r="F1149"/>
  <c r="E1149"/>
  <c r="D1149"/>
  <c r="L1189"/>
  <c r="K1189"/>
  <c r="J1189"/>
  <c r="I1189"/>
  <c r="G1189"/>
  <c r="F1189"/>
  <c r="E1189"/>
  <c r="D1189"/>
  <c r="L1188"/>
  <c r="K1188"/>
  <c r="J1188"/>
  <c r="I1188"/>
  <c r="G1188"/>
  <c r="F1188"/>
  <c r="E1188"/>
  <c r="D1188"/>
  <c r="L1186"/>
  <c r="G1186"/>
  <c r="F1186"/>
  <c r="E1186"/>
  <c r="D1186"/>
  <c r="L1184"/>
  <c r="K1184"/>
  <c r="G1184"/>
  <c r="F1184"/>
  <c r="E1184"/>
  <c r="D1184"/>
  <c r="L1183"/>
  <c r="K1183"/>
  <c r="G1183"/>
  <c r="F1183"/>
  <c r="E1183"/>
  <c r="D1183"/>
  <c r="L1179"/>
  <c r="K1179"/>
  <c r="G1179"/>
  <c r="F1179"/>
  <c r="E1179"/>
  <c r="D1179"/>
  <c r="L1175"/>
  <c r="G1175"/>
  <c r="F1175"/>
  <c r="E1175"/>
  <c r="D1175"/>
  <c r="L1173"/>
  <c r="G1173"/>
  <c r="F1173"/>
  <c r="E1173"/>
  <c r="D1173"/>
  <c r="L1172"/>
  <c r="K1172"/>
  <c r="J1172"/>
  <c r="I1172"/>
  <c r="G1172"/>
  <c r="F1172"/>
  <c r="E1172"/>
  <c r="D1172"/>
  <c r="L1171"/>
  <c r="K1171"/>
  <c r="J1171"/>
  <c r="I1171"/>
  <c r="G1171"/>
  <c r="F1171"/>
  <c r="E1171"/>
  <c r="D1171"/>
  <c r="L1170"/>
  <c r="K1170"/>
  <c r="J1170"/>
  <c r="I1170"/>
  <c r="G1170"/>
  <c r="F1170"/>
  <c r="E1170"/>
  <c r="D1170"/>
  <c r="L1168"/>
  <c r="K1168"/>
  <c r="G1168"/>
  <c r="F1168"/>
  <c r="E1168"/>
  <c r="D1168"/>
  <c r="L1163"/>
  <c r="K1163"/>
  <c r="J1163"/>
  <c r="I1163"/>
  <c r="G1163"/>
  <c r="F1163"/>
  <c r="E1163"/>
  <c r="D1163"/>
  <c r="L1159"/>
  <c r="K1159"/>
  <c r="J1159"/>
  <c r="I1159"/>
  <c r="G1159"/>
  <c r="F1159"/>
  <c r="E1159"/>
  <c r="D1159"/>
  <c r="L1158"/>
  <c r="K1158"/>
  <c r="J1158"/>
  <c r="I1158"/>
  <c r="G1158"/>
  <c r="F1158"/>
  <c r="E1158"/>
  <c r="D1158"/>
  <c r="L1157"/>
  <c r="K1157"/>
  <c r="J1157"/>
  <c r="I1157"/>
  <c r="G1157"/>
  <c r="F1157"/>
  <c r="E1157"/>
  <c r="D1157"/>
  <c r="K1156"/>
  <c r="G1156"/>
  <c r="F1156"/>
  <c r="E1156"/>
  <c r="D1156"/>
  <c r="L1155"/>
  <c r="K1155"/>
  <c r="G1155"/>
  <c r="F1155"/>
  <c r="E1155"/>
  <c r="D1155"/>
  <c r="L1154"/>
  <c r="K1154"/>
  <c r="J1154"/>
  <c r="I1154"/>
  <c r="G1154"/>
  <c r="F1154"/>
  <c r="E1154"/>
  <c r="D1154"/>
  <c r="L1153"/>
  <c r="G1153"/>
  <c r="F1153"/>
  <c r="E1153"/>
  <c r="D1153"/>
  <c r="L1151"/>
  <c r="G1151"/>
  <c r="F1151"/>
  <c r="E1151"/>
  <c r="D1151"/>
  <c r="L1150"/>
  <c r="G1150"/>
  <c r="F1150"/>
  <c r="E1150"/>
  <c r="D1150"/>
  <c r="L1145"/>
  <c r="G1145"/>
  <c r="F1145"/>
  <c r="E1145"/>
  <c r="D1145"/>
  <c r="G1144"/>
  <c r="F1144"/>
  <c r="E1144"/>
  <c r="D1144"/>
  <c r="L1143"/>
  <c r="G1143"/>
  <c r="F1143"/>
  <c r="E1143"/>
  <c r="D1143"/>
  <c r="L1138"/>
  <c r="G1138"/>
  <c r="F1138"/>
  <c r="E1138"/>
  <c r="D1138"/>
  <c r="L1136"/>
  <c r="G1136"/>
  <c r="F1136"/>
  <c r="E1136"/>
  <c r="D1136"/>
  <c r="L1135"/>
  <c r="G1135"/>
  <c r="F1135"/>
  <c r="E1135"/>
  <c r="D1135"/>
  <c r="L1134"/>
  <c r="K1134"/>
  <c r="J1134"/>
  <c r="I1134"/>
  <c r="G1134"/>
  <c r="F1134"/>
  <c r="E1134"/>
  <c r="D1134"/>
  <c r="L1133"/>
  <c r="K1133"/>
  <c r="J1133"/>
  <c r="I1133"/>
  <c r="G1133"/>
  <c r="F1133"/>
  <c r="E1133"/>
  <c r="D1133"/>
  <c r="L1132"/>
  <c r="K1132"/>
  <c r="G1132"/>
  <c r="F1132"/>
  <c r="E1132"/>
  <c r="D1132"/>
  <c r="L1131"/>
  <c r="K1131"/>
  <c r="G1131"/>
  <c r="F1131"/>
  <c r="E1131"/>
  <c r="D1131"/>
  <c r="L1129"/>
  <c r="K1129"/>
  <c r="J1129"/>
  <c r="I1129"/>
  <c r="G1129"/>
  <c r="F1129"/>
  <c r="E1129"/>
  <c r="D1129"/>
  <c r="L1128"/>
  <c r="K1128"/>
  <c r="J1128"/>
  <c r="I1128"/>
  <c r="G1128"/>
  <c r="F1128"/>
  <c r="E1128"/>
  <c r="D1128"/>
  <c r="L1127"/>
  <c r="K1127"/>
  <c r="J1127"/>
  <c r="I1127"/>
  <c r="G1127"/>
  <c r="F1127"/>
  <c r="E1127"/>
  <c r="D1127"/>
  <c r="L1126"/>
  <c r="K1126"/>
  <c r="G1126"/>
  <c r="F1126"/>
  <c r="E1126"/>
  <c r="D1126"/>
  <c r="L1125"/>
  <c r="G1125"/>
  <c r="F1125"/>
  <c r="E1125"/>
  <c r="D1125"/>
  <c r="L1122"/>
  <c r="K1122"/>
  <c r="G1122"/>
  <c r="F1122"/>
  <c r="E1122"/>
  <c r="D1122"/>
  <c r="L1119"/>
  <c r="G1119"/>
  <c r="F1119"/>
  <c r="E1119"/>
  <c r="D1119"/>
  <c r="L1118"/>
  <c r="G1118"/>
  <c r="F1118"/>
  <c r="E1118"/>
  <c r="D1118"/>
  <c r="G1117"/>
  <c r="F1117"/>
  <c r="E1117"/>
  <c r="D1117"/>
  <c r="L1116"/>
  <c r="K1116"/>
  <c r="G1116"/>
  <c r="F1116"/>
  <c r="E1116"/>
  <c r="D1116"/>
  <c r="L1115"/>
  <c r="K1115"/>
  <c r="G1115"/>
  <c r="F1115"/>
  <c r="E1115"/>
  <c r="D1115"/>
  <c r="L1113"/>
  <c r="G1113"/>
  <c r="F1113"/>
  <c r="E1113"/>
  <c r="D1113"/>
  <c r="L1112"/>
  <c r="K1112"/>
  <c r="G1112"/>
  <c r="F1112"/>
  <c r="E1112"/>
  <c r="D1112"/>
  <c r="G1111"/>
  <c r="F1111"/>
  <c r="E1111"/>
  <c r="D1111"/>
  <c r="L1109"/>
  <c r="K1109"/>
  <c r="G1109"/>
  <c r="F1109"/>
  <c r="E1109"/>
  <c r="D1109"/>
  <c r="K1107"/>
  <c r="J1107"/>
  <c r="I1107"/>
  <c r="G1107"/>
  <c r="F1107"/>
  <c r="E1107"/>
  <c r="D1107"/>
  <c r="L1105"/>
  <c r="K1105"/>
  <c r="J1105"/>
  <c r="I1105"/>
  <c r="G1105"/>
  <c r="F1105"/>
  <c r="E1105"/>
  <c r="D1105"/>
  <c r="L1104"/>
  <c r="K1104"/>
  <c r="J1104"/>
  <c r="I1104"/>
  <c r="G1104"/>
  <c r="F1104"/>
  <c r="E1104"/>
  <c r="D1104"/>
  <c r="L1103"/>
  <c r="G1103"/>
  <c r="F1103"/>
  <c r="E1103"/>
  <c r="D1103"/>
  <c r="L1101"/>
  <c r="K1101"/>
  <c r="J1101"/>
  <c r="I1101"/>
  <c r="G1101"/>
  <c r="F1101"/>
  <c r="E1101"/>
  <c r="D1101"/>
  <c r="L1100"/>
  <c r="G1100"/>
  <c r="F1100"/>
  <c r="E1100"/>
  <c r="D1100"/>
  <c r="L1099"/>
  <c r="K1099"/>
  <c r="J1099"/>
  <c r="I1099"/>
  <c r="G1099"/>
  <c r="F1099"/>
  <c r="E1099"/>
  <c r="D1099"/>
  <c r="L1098"/>
  <c r="K1098"/>
  <c r="J1098"/>
  <c r="I1098"/>
  <c r="G1098"/>
  <c r="F1098"/>
  <c r="E1098"/>
  <c r="D1098"/>
  <c r="L1097"/>
  <c r="K1097"/>
  <c r="G1097"/>
  <c r="F1097"/>
  <c r="E1097"/>
  <c r="D1097"/>
  <c r="L1095"/>
  <c r="K1095"/>
  <c r="J1095"/>
  <c r="I1095"/>
  <c r="G1095"/>
  <c r="F1095"/>
  <c r="E1095"/>
  <c r="D1095"/>
  <c r="G1094"/>
  <c r="F1094"/>
  <c r="E1094"/>
  <c r="D1094"/>
  <c r="L1093"/>
  <c r="G1093"/>
  <c r="F1093"/>
  <c r="E1093"/>
  <c r="D1093"/>
  <c r="L1092"/>
  <c r="G1092"/>
  <c r="F1092"/>
  <c r="E1092"/>
  <c r="D1092"/>
  <c r="L1091"/>
  <c r="K1091"/>
  <c r="G1091"/>
  <c r="F1091"/>
  <c r="E1091"/>
  <c r="D1091"/>
  <c r="L1090"/>
  <c r="G1090"/>
  <c r="F1090"/>
  <c r="E1090"/>
  <c r="D1090"/>
  <c r="L1089"/>
  <c r="G1089"/>
  <c r="F1089"/>
  <c r="E1089"/>
  <c r="D1089"/>
  <c r="L1087"/>
  <c r="K1087"/>
  <c r="G1087"/>
  <c r="F1087"/>
  <c r="E1087"/>
  <c r="D1087"/>
  <c r="L1086"/>
  <c r="K1086"/>
  <c r="G1086"/>
  <c r="F1086"/>
  <c r="E1086"/>
  <c r="D1086"/>
  <c r="L1085"/>
  <c r="K1085"/>
  <c r="J1085"/>
  <c r="I1085"/>
  <c r="G1085"/>
  <c r="F1085"/>
  <c r="E1085"/>
  <c r="D1085"/>
  <c r="L1084"/>
  <c r="K1084"/>
  <c r="J1084"/>
  <c r="I1084"/>
  <c r="G1084"/>
  <c r="F1084"/>
  <c r="E1084"/>
  <c r="D1084"/>
  <c r="L1075"/>
  <c r="K1075"/>
  <c r="J1075"/>
  <c r="I1075"/>
  <c r="G1075"/>
  <c r="F1075"/>
  <c r="E1075"/>
  <c r="D1075"/>
  <c r="L1071"/>
  <c r="G1071"/>
  <c r="F1071"/>
  <c r="E1071"/>
  <c r="D1071"/>
  <c r="L1070"/>
  <c r="G1070"/>
  <c r="F1070"/>
  <c r="E1070"/>
  <c r="D1070"/>
  <c r="L1067"/>
  <c r="K1067"/>
  <c r="J1067"/>
  <c r="I1067"/>
  <c r="G1067"/>
  <c r="F1067"/>
  <c r="E1067"/>
  <c r="D1067"/>
  <c r="L1065"/>
  <c r="K1065"/>
  <c r="J1065"/>
  <c r="I1065"/>
  <c r="G1065"/>
  <c r="F1065"/>
  <c r="E1065"/>
  <c r="D1065"/>
  <c r="L1064"/>
  <c r="K1064"/>
  <c r="J1064"/>
  <c r="I1064"/>
  <c r="G1064"/>
  <c r="F1064"/>
  <c r="E1064"/>
  <c r="D1064"/>
  <c r="L1063"/>
  <c r="G1063"/>
  <c r="F1063"/>
  <c r="E1063"/>
  <c r="D1063"/>
  <c r="L1061"/>
  <c r="K1061"/>
  <c r="G1061"/>
  <c r="F1061"/>
  <c r="E1061"/>
  <c r="D1061"/>
  <c r="L1060"/>
  <c r="K1060"/>
  <c r="G1060"/>
  <c r="F1060"/>
  <c r="E1060"/>
  <c r="D1060"/>
  <c r="L1059"/>
  <c r="G1059"/>
  <c r="F1059"/>
  <c r="E1059"/>
  <c r="D1059"/>
  <c r="L1058"/>
  <c r="K1058"/>
  <c r="G1058"/>
  <c r="F1058"/>
  <c r="E1058"/>
  <c r="D1058"/>
  <c r="L1056"/>
  <c r="G1056"/>
  <c r="F1056"/>
  <c r="E1056"/>
  <c r="D1056"/>
  <c r="L1055"/>
  <c r="K1055"/>
  <c r="J1055"/>
  <c r="I1055"/>
  <c r="G1055"/>
  <c r="F1055"/>
  <c r="E1055"/>
  <c r="D1055"/>
  <c r="L1054"/>
  <c r="K1054"/>
  <c r="J1054"/>
  <c r="I1054"/>
  <c r="G1054"/>
  <c r="F1054"/>
  <c r="E1054"/>
  <c r="D1054"/>
  <c r="L1053"/>
  <c r="K1053"/>
  <c r="J1053"/>
  <c r="I1053"/>
  <c r="G1053"/>
  <c r="F1053"/>
  <c r="E1053"/>
  <c r="D1053"/>
  <c r="L1052"/>
  <c r="G1052"/>
  <c r="F1052"/>
  <c r="E1052"/>
  <c r="D1052"/>
  <c r="L1051"/>
  <c r="G1051"/>
  <c r="F1051"/>
  <c r="E1051"/>
  <c r="D1051"/>
  <c r="L1050"/>
  <c r="G1050"/>
  <c r="F1050"/>
  <c r="E1050"/>
  <c r="D1050"/>
  <c r="L1048"/>
  <c r="G1048"/>
  <c r="F1048"/>
  <c r="E1048"/>
  <c r="D1048"/>
  <c r="L1047"/>
  <c r="K1047"/>
  <c r="J1047"/>
  <c r="I1047"/>
  <c r="G1047"/>
  <c r="F1047"/>
  <c r="E1047"/>
  <c r="D1047"/>
  <c r="L1046"/>
  <c r="G1046"/>
  <c r="F1046"/>
  <c r="E1046"/>
  <c r="D1046"/>
  <c r="L1044"/>
  <c r="K1044"/>
  <c r="J1044"/>
  <c r="I1044"/>
  <c r="G1044"/>
  <c r="F1044"/>
  <c r="E1044"/>
  <c r="D1044"/>
  <c r="K1042"/>
  <c r="G1042"/>
  <c r="F1042"/>
  <c r="E1042"/>
  <c r="D1042"/>
  <c r="L1041"/>
  <c r="K1041"/>
  <c r="J1041"/>
  <c r="I1041"/>
  <c r="G1041"/>
  <c r="F1041"/>
  <c r="E1041"/>
  <c r="D1041"/>
  <c r="L1039"/>
  <c r="G1039"/>
  <c r="F1039"/>
  <c r="E1039"/>
  <c r="D1039"/>
  <c r="L1038"/>
  <c r="K1038"/>
  <c r="J1038"/>
  <c r="I1038"/>
  <c r="G1038"/>
  <c r="F1038"/>
  <c r="E1038"/>
  <c r="D1038"/>
  <c r="L1036"/>
  <c r="K1036"/>
  <c r="J1036"/>
  <c r="I1036"/>
  <c r="G1036"/>
  <c r="F1036"/>
  <c r="E1036"/>
  <c r="D1036"/>
  <c r="L1035"/>
  <c r="G1035"/>
  <c r="F1035"/>
  <c r="E1035"/>
  <c r="D1035"/>
  <c r="G1034"/>
  <c r="F1034"/>
  <c r="E1034"/>
  <c r="D1034"/>
  <c r="L1033"/>
  <c r="G1033"/>
  <c r="F1033"/>
  <c r="E1033"/>
  <c r="D1033"/>
  <c r="G1032"/>
  <c r="F1032"/>
  <c r="E1032"/>
  <c r="D1032"/>
  <c r="G1031"/>
  <c r="F1031"/>
  <c r="E1031"/>
  <c r="D1031"/>
  <c r="L1027"/>
  <c r="K1027"/>
  <c r="G1027"/>
  <c r="F1027"/>
  <c r="E1027"/>
  <c r="D1027"/>
  <c r="L1026"/>
  <c r="K1026"/>
  <c r="J1026"/>
  <c r="I1026"/>
  <c r="G1026"/>
  <c r="F1026"/>
  <c r="E1026"/>
  <c r="D1026"/>
  <c r="G1022"/>
  <c r="F1022"/>
  <c r="E1022"/>
  <c r="D1022"/>
  <c r="L1021"/>
  <c r="G1021"/>
  <c r="F1021"/>
  <c r="E1021"/>
  <c r="D1021"/>
  <c r="L1020"/>
  <c r="G1020"/>
  <c r="F1020"/>
  <c r="E1020"/>
  <c r="D1020"/>
  <c r="L1019"/>
  <c r="G1019"/>
  <c r="F1019"/>
  <c r="E1019"/>
  <c r="D1019"/>
  <c r="L1018"/>
  <c r="G1018"/>
  <c r="F1018"/>
  <c r="E1018"/>
  <c r="D1018"/>
  <c r="L1017"/>
  <c r="G1017"/>
  <c r="F1017"/>
  <c r="E1017"/>
  <c r="D1017"/>
  <c r="L1015"/>
  <c r="G1015"/>
  <c r="F1015"/>
  <c r="E1015"/>
  <c r="D1015"/>
  <c r="L1014"/>
  <c r="G1014"/>
  <c r="F1014"/>
  <c r="E1014"/>
  <c r="D1014"/>
  <c r="L1013"/>
  <c r="G1013"/>
  <c r="F1013"/>
  <c r="E1013"/>
  <c r="D1013"/>
  <c r="L1012"/>
  <c r="K1012"/>
  <c r="G1012"/>
  <c r="F1012"/>
  <c r="E1012"/>
  <c r="D1012"/>
  <c r="L1010"/>
  <c r="G1010"/>
  <c r="F1010"/>
  <c r="E1010"/>
  <c r="D1010"/>
  <c r="L1007"/>
  <c r="K1007"/>
  <c r="J1007"/>
  <c r="I1007"/>
  <c r="G1007"/>
  <c r="F1007"/>
  <c r="E1007"/>
  <c r="D1007"/>
  <c r="L1006"/>
  <c r="K1006"/>
  <c r="J1006"/>
  <c r="I1006"/>
  <c r="G1006"/>
  <c r="F1006"/>
  <c r="E1006"/>
  <c r="D1006"/>
  <c r="L1003"/>
  <c r="K1003"/>
  <c r="G1003"/>
  <c r="F1003"/>
  <c r="E1003"/>
  <c r="D1003"/>
  <c r="L1001"/>
  <c r="F1001"/>
  <c r="E1001"/>
  <c r="D1001"/>
  <c r="L1000"/>
  <c r="G1000"/>
  <c r="F1000"/>
  <c r="E1000"/>
  <c r="D1000"/>
  <c r="L998"/>
  <c r="K998"/>
  <c r="J998"/>
  <c r="I998"/>
  <c r="G998"/>
  <c r="F998"/>
  <c r="E998"/>
  <c r="D998"/>
  <c r="L997"/>
  <c r="G997"/>
  <c r="F997"/>
  <c r="E997"/>
  <c r="D997"/>
  <c r="L996"/>
  <c r="K996"/>
  <c r="G996"/>
  <c r="F996"/>
  <c r="E996"/>
  <c r="D996"/>
  <c r="L988"/>
  <c r="G988"/>
  <c r="F988"/>
  <c r="E988"/>
  <c r="D988"/>
  <c r="L987"/>
  <c r="G987"/>
  <c r="F987"/>
  <c r="E987"/>
  <c r="D987"/>
  <c r="L986"/>
  <c r="G986"/>
  <c r="F986"/>
  <c r="E986"/>
  <c r="D986"/>
  <c r="L985"/>
  <c r="K985"/>
  <c r="G985"/>
  <c r="F985"/>
  <c r="E985"/>
  <c r="D985"/>
  <c r="L984"/>
  <c r="K984"/>
  <c r="J984"/>
  <c r="I984"/>
  <c r="G984"/>
  <c r="F984"/>
  <c r="E984"/>
  <c r="D984"/>
  <c r="L983"/>
  <c r="K983"/>
  <c r="G983"/>
  <c r="F983"/>
  <c r="E983"/>
  <c r="D983"/>
  <c r="L982"/>
  <c r="G982"/>
  <c r="F982"/>
  <c r="E982"/>
  <c r="D982"/>
  <c r="L981"/>
  <c r="G981"/>
  <c r="F981"/>
  <c r="E981"/>
  <c r="D981"/>
  <c r="L980"/>
  <c r="G980"/>
  <c r="F980"/>
  <c r="E980"/>
  <c r="D980"/>
  <c r="L979"/>
  <c r="G979"/>
  <c r="F979"/>
  <c r="E979"/>
  <c r="D979"/>
  <c r="L978"/>
  <c r="G978"/>
  <c r="F978"/>
  <c r="E978"/>
  <c r="D978"/>
  <c r="L977"/>
  <c r="G977"/>
  <c r="F977"/>
  <c r="E977"/>
  <c r="D977"/>
  <c r="L976"/>
  <c r="G976"/>
  <c r="F976"/>
  <c r="E976"/>
  <c r="D976"/>
  <c r="L974"/>
  <c r="K974"/>
  <c r="G974"/>
  <c r="F974"/>
  <c r="E974"/>
  <c r="D974"/>
  <c r="L967"/>
  <c r="K967"/>
  <c r="G967"/>
  <c r="F967"/>
  <c r="E967"/>
  <c r="D967"/>
  <c r="L966"/>
  <c r="K966"/>
  <c r="G966"/>
  <c r="F966"/>
  <c r="E966"/>
  <c r="D966"/>
  <c r="L965"/>
  <c r="K965"/>
  <c r="J965"/>
  <c r="I965"/>
  <c r="G965"/>
  <c r="F965"/>
  <c r="E965"/>
  <c r="D965"/>
  <c r="L964"/>
  <c r="K964"/>
  <c r="J964"/>
  <c r="I964"/>
  <c r="G964"/>
  <c r="F964"/>
  <c r="E964"/>
  <c r="D964"/>
  <c r="L963"/>
  <c r="K963"/>
  <c r="G963"/>
  <c r="F963"/>
  <c r="E963"/>
  <c r="D963"/>
  <c r="L962"/>
  <c r="K962"/>
  <c r="G962"/>
  <c r="F962"/>
  <c r="E962"/>
  <c r="D962"/>
  <c r="G960"/>
  <c r="F960"/>
  <c r="E960"/>
  <c r="D960"/>
  <c r="L956"/>
  <c r="G956"/>
  <c r="F956"/>
  <c r="E956"/>
  <c r="D956"/>
  <c r="L955"/>
  <c r="G955"/>
  <c r="F955"/>
  <c r="E955"/>
  <c r="D955"/>
  <c r="L950"/>
  <c r="G950"/>
  <c r="F950"/>
  <c r="E950"/>
  <c r="D950"/>
  <c r="L949"/>
  <c r="K949"/>
  <c r="G949"/>
  <c r="F949"/>
  <c r="E949"/>
  <c r="D949"/>
  <c r="L947"/>
  <c r="K947"/>
  <c r="J947"/>
  <c r="I947"/>
  <c r="G947"/>
  <c r="F947"/>
  <c r="E947"/>
  <c r="D947"/>
  <c r="L946"/>
  <c r="K946"/>
  <c r="J946"/>
  <c r="I946"/>
  <c r="G946"/>
  <c r="F946"/>
  <c r="E946"/>
  <c r="D946"/>
  <c r="L945"/>
  <c r="G945"/>
  <c r="F945"/>
  <c r="E945"/>
  <c r="D945"/>
  <c r="L943"/>
  <c r="K943"/>
  <c r="J943"/>
  <c r="I943"/>
  <c r="G943"/>
  <c r="F943"/>
  <c r="E943"/>
  <c r="D943"/>
  <c r="G942"/>
  <c r="F942"/>
  <c r="E942"/>
  <c r="D942"/>
  <c r="L940"/>
  <c r="G940"/>
  <c r="F940"/>
  <c r="E940"/>
  <c r="D940"/>
  <c r="L939"/>
  <c r="K939"/>
  <c r="J939"/>
  <c r="I939"/>
  <c r="G939"/>
  <c r="F939"/>
  <c r="E939"/>
  <c r="D939"/>
  <c r="L937"/>
  <c r="G937"/>
  <c r="F937"/>
  <c r="E937"/>
  <c r="D937"/>
  <c r="L935"/>
  <c r="G935"/>
  <c r="F935"/>
  <c r="E935"/>
  <c r="D935"/>
  <c r="L934"/>
  <c r="K934"/>
  <c r="G934"/>
  <c r="F934"/>
  <c r="E934"/>
  <c r="D934"/>
  <c r="L933"/>
  <c r="K933"/>
  <c r="J933"/>
  <c r="I933"/>
  <c r="G933"/>
  <c r="F933"/>
  <c r="E933"/>
  <c r="D933"/>
  <c r="L932"/>
  <c r="K932"/>
  <c r="J932"/>
  <c r="I932"/>
  <c r="G932"/>
  <c r="F932"/>
  <c r="E932"/>
  <c r="D932"/>
  <c r="L931"/>
  <c r="K931"/>
  <c r="J931"/>
  <c r="I931"/>
  <c r="G931"/>
  <c r="F931"/>
  <c r="E931"/>
  <c r="D931"/>
  <c r="L930"/>
  <c r="K930"/>
  <c r="J930"/>
  <c r="I930"/>
  <c r="G930"/>
  <c r="F930"/>
  <c r="E930"/>
  <c r="D930"/>
  <c r="L929"/>
  <c r="K929"/>
  <c r="J929"/>
  <c r="I929"/>
  <c r="G929"/>
  <c r="F929"/>
  <c r="E929"/>
  <c r="D929"/>
  <c r="L927"/>
  <c r="K927"/>
  <c r="G927"/>
  <c r="F927"/>
  <c r="E927"/>
  <c r="D927"/>
  <c r="L926"/>
  <c r="G926"/>
  <c r="F926"/>
  <c r="E926"/>
  <c r="D926"/>
  <c r="L925"/>
  <c r="G925"/>
  <c r="F925"/>
  <c r="E925"/>
  <c r="D925"/>
  <c r="L924"/>
  <c r="G924"/>
  <c r="F924"/>
  <c r="E924"/>
  <c r="D924"/>
  <c r="L922"/>
  <c r="G922"/>
  <c r="F922"/>
  <c r="E922"/>
  <c r="D922"/>
  <c r="L921"/>
  <c r="G921"/>
  <c r="F921"/>
  <c r="E921"/>
  <c r="D921"/>
  <c r="L920"/>
  <c r="G920"/>
  <c r="F920"/>
  <c r="E920"/>
  <c r="D920"/>
  <c r="L919"/>
  <c r="G919"/>
  <c r="F919"/>
  <c r="E919"/>
  <c r="D919"/>
  <c r="L917"/>
  <c r="K917"/>
  <c r="G917"/>
  <c r="F917"/>
  <c r="E917"/>
  <c r="D917"/>
  <c r="L916"/>
  <c r="K916"/>
  <c r="J916"/>
  <c r="I916"/>
  <c r="G916"/>
  <c r="F916"/>
  <c r="E916"/>
  <c r="D916"/>
  <c r="L915"/>
  <c r="G915"/>
  <c r="F915"/>
  <c r="E915"/>
  <c r="D915"/>
  <c r="L914"/>
  <c r="K914"/>
  <c r="J914"/>
  <c r="I914"/>
  <c r="G914"/>
  <c r="F914"/>
  <c r="E914"/>
  <c r="D914"/>
  <c r="L913"/>
  <c r="K913"/>
  <c r="J913"/>
  <c r="I913"/>
  <c r="G913"/>
  <c r="F913"/>
  <c r="E913"/>
  <c r="D913"/>
  <c r="L912"/>
  <c r="K912"/>
  <c r="J912"/>
  <c r="I912"/>
  <c r="G912"/>
  <c r="F912"/>
  <c r="E912"/>
  <c r="D912"/>
  <c r="L911"/>
  <c r="K911"/>
  <c r="J911"/>
  <c r="I911"/>
  <c r="G911"/>
  <c r="F911"/>
  <c r="E911"/>
  <c r="D911"/>
  <c r="L909"/>
  <c r="G909"/>
  <c r="F909"/>
  <c r="E909"/>
  <c r="D909"/>
  <c r="L906"/>
  <c r="G906"/>
  <c r="F906"/>
  <c r="E906"/>
  <c r="D906"/>
  <c r="L904"/>
  <c r="K904"/>
  <c r="G904"/>
  <c r="F904"/>
  <c r="E904"/>
  <c r="D904"/>
  <c r="L903"/>
  <c r="G903"/>
  <c r="F903"/>
  <c r="E903"/>
  <c r="D903"/>
  <c r="L902"/>
  <c r="G902"/>
  <c r="F902"/>
  <c r="E902"/>
  <c r="D902"/>
  <c r="L898"/>
  <c r="G898"/>
  <c r="F898"/>
  <c r="E898"/>
  <c r="D898"/>
  <c r="L897"/>
  <c r="G897"/>
  <c r="F897"/>
  <c r="E897"/>
  <c r="D897"/>
  <c r="L896"/>
  <c r="G896"/>
  <c r="F896"/>
  <c r="E896"/>
  <c r="D896"/>
  <c r="L895"/>
  <c r="K895"/>
  <c r="G895"/>
  <c r="F895"/>
  <c r="E895"/>
  <c r="D895"/>
  <c r="L894"/>
  <c r="K894"/>
  <c r="J894"/>
  <c r="I894"/>
  <c r="G894"/>
  <c r="F894"/>
  <c r="E894"/>
  <c r="D894"/>
  <c r="L893"/>
  <c r="K893"/>
  <c r="J893"/>
  <c r="I893"/>
  <c r="G893"/>
  <c r="F893"/>
  <c r="E893"/>
  <c r="D893"/>
  <c r="L891"/>
  <c r="K891"/>
  <c r="G891"/>
  <c r="F891"/>
  <c r="E891"/>
  <c r="D891"/>
  <c r="L890"/>
  <c r="K890"/>
  <c r="G890"/>
  <c r="F890"/>
  <c r="E890"/>
  <c r="D890"/>
  <c r="L889"/>
  <c r="K889"/>
  <c r="G889"/>
  <c r="F889"/>
  <c r="E889"/>
  <c r="D889"/>
  <c r="G888"/>
  <c r="F888"/>
  <c r="E888"/>
  <c r="D888"/>
  <c r="F887"/>
  <c r="D887"/>
  <c r="L886"/>
  <c r="K886"/>
  <c r="J886"/>
  <c r="I886"/>
  <c r="G886"/>
  <c r="F886"/>
  <c r="E886"/>
  <c r="D886"/>
  <c r="L885"/>
  <c r="K885"/>
  <c r="J885"/>
  <c r="I885"/>
  <c r="G885"/>
  <c r="F885"/>
  <c r="E885"/>
  <c r="D885"/>
  <c r="L884"/>
  <c r="K884"/>
  <c r="J884"/>
  <c r="I884"/>
  <c r="G884"/>
  <c r="F884"/>
  <c r="E884"/>
  <c r="D884"/>
  <c r="G882"/>
  <c r="F882"/>
  <c r="E882"/>
  <c r="D882"/>
  <c r="L880"/>
  <c r="G880"/>
  <c r="F880"/>
  <c r="E880"/>
  <c r="D880"/>
  <c r="L877"/>
  <c r="K877"/>
  <c r="J877"/>
  <c r="I877"/>
  <c r="G877"/>
  <c r="F877"/>
  <c r="E877"/>
  <c r="D877"/>
  <c r="L875"/>
  <c r="K875"/>
  <c r="G875"/>
  <c r="F875"/>
  <c r="E875"/>
  <c r="D875"/>
  <c r="G874"/>
  <c r="F874"/>
  <c r="E874"/>
  <c r="D874"/>
  <c r="G869"/>
  <c r="F869"/>
  <c r="E869"/>
  <c r="D869"/>
  <c r="G868"/>
  <c r="F868"/>
  <c r="E868"/>
  <c r="D868"/>
  <c r="L864"/>
  <c r="G864"/>
  <c r="F864"/>
  <c r="E864"/>
  <c r="D864"/>
  <c r="L863"/>
  <c r="G863"/>
  <c r="F863"/>
  <c r="E863"/>
  <c r="D863"/>
  <c r="G860"/>
  <c r="F860"/>
  <c r="E860"/>
  <c r="D860"/>
  <c r="L859"/>
  <c r="K859"/>
  <c r="J859"/>
  <c r="I859"/>
  <c r="G859"/>
  <c r="F859"/>
  <c r="E859"/>
  <c r="D859"/>
  <c r="L857"/>
  <c r="K857"/>
  <c r="J857"/>
  <c r="I857"/>
  <c r="G857"/>
  <c r="F857"/>
  <c r="E857"/>
  <c r="D857"/>
  <c r="L856"/>
  <c r="G856"/>
  <c r="F856"/>
  <c r="E856"/>
  <c r="D856"/>
  <c r="L855"/>
  <c r="G855"/>
  <c r="F855"/>
  <c r="E855"/>
  <c r="D855"/>
  <c r="L853"/>
  <c r="G853"/>
  <c r="F853"/>
  <c r="E853"/>
  <c r="D853"/>
  <c r="L842"/>
  <c r="K842"/>
  <c r="J842"/>
  <c r="I842"/>
  <c r="G842"/>
  <c r="F842"/>
  <c r="E842"/>
  <c r="D842"/>
  <c r="L841"/>
  <c r="K841"/>
  <c r="J841"/>
  <c r="I841"/>
  <c r="G841"/>
  <c r="F841"/>
  <c r="E841"/>
  <c r="D841"/>
  <c r="L839"/>
  <c r="K839"/>
  <c r="G839"/>
  <c r="F839"/>
  <c r="E839"/>
  <c r="D839"/>
  <c r="L838"/>
  <c r="K838"/>
  <c r="J838"/>
  <c r="I838"/>
  <c r="G838"/>
  <c r="F838"/>
  <c r="E838"/>
  <c r="D838"/>
  <c r="L837"/>
  <c r="K837"/>
  <c r="J837"/>
  <c r="I837"/>
  <c r="G837"/>
  <c r="F837"/>
  <c r="E837"/>
  <c r="D837"/>
  <c r="L836"/>
  <c r="K836"/>
  <c r="G836"/>
  <c r="F836"/>
  <c r="E836"/>
  <c r="D836"/>
  <c r="L835"/>
  <c r="G835"/>
  <c r="F835"/>
  <c r="E835"/>
  <c r="D835"/>
  <c r="L834"/>
  <c r="K834"/>
  <c r="J834"/>
  <c r="I834"/>
  <c r="G834"/>
  <c r="F834"/>
  <c r="E834"/>
  <c r="D834"/>
  <c r="L833"/>
  <c r="K833"/>
  <c r="J833"/>
  <c r="I833"/>
  <c r="G833"/>
  <c r="F833"/>
  <c r="E833"/>
  <c r="D833"/>
  <c r="L830"/>
  <c r="K830"/>
  <c r="J830"/>
  <c r="I830"/>
  <c r="G830"/>
  <c r="F830"/>
  <c r="E830"/>
  <c r="D830"/>
  <c r="L828"/>
  <c r="K828"/>
  <c r="J828"/>
  <c r="I828"/>
  <c r="G828"/>
  <c r="F828"/>
  <c r="E828"/>
  <c r="D828"/>
  <c r="L827"/>
  <c r="K827"/>
  <c r="J827"/>
  <c r="I827"/>
  <c r="G827"/>
  <c r="F827"/>
  <c r="E827"/>
  <c r="D827"/>
  <c r="L826"/>
  <c r="K826"/>
  <c r="J826"/>
  <c r="I826"/>
  <c r="G826"/>
  <c r="F826"/>
  <c r="E826"/>
  <c r="D826"/>
  <c r="L825"/>
  <c r="K825"/>
  <c r="J825"/>
  <c r="I825"/>
  <c r="G825"/>
  <c r="F825"/>
  <c r="E825"/>
  <c r="D825"/>
  <c r="L824"/>
  <c r="K824"/>
  <c r="J824"/>
  <c r="I824"/>
  <c r="G824"/>
  <c r="F824"/>
  <c r="E824"/>
  <c r="D824"/>
  <c r="L822"/>
  <c r="K822"/>
  <c r="J822"/>
  <c r="I822"/>
  <c r="G822"/>
  <c r="F822"/>
  <c r="E822"/>
  <c r="D822"/>
  <c r="L821"/>
  <c r="G821"/>
  <c r="F821"/>
  <c r="E821"/>
  <c r="D821"/>
  <c r="L820"/>
  <c r="G820"/>
  <c r="F820"/>
  <c r="E820"/>
  <c r="D820"/>
  <c r="L819"/>
  <c r="G819"/>
  <c r="F819"/>
  <c r="E819"/>
  <c r="D819"/>
  <c r="L818"/>
  <c r="G818"/>
  <c r="F818"/>
  <c r="E818"/>
  <c r="D818"/>
  <c r="L817"/>
  <c r="G817"/>
  <c r="F817"/>
  <c r="E817"/>
  <c r="D817"/>
  <c r="L815"/>
  <c r="K815"/>
  <c r="J815"/>
  <c r="I815"/>
  <c r="G815"/>
  <c r="F815"/>
  <c r="E815"/>
  <c r="D815"/>
  <c r="L814"/>
  <c r="K814"/>
  <c r="J814"/>
  <c r="I814"/>
  <c r="G814"/>
  <c r="F814"/>
  <c r="E814"/>
  <c r="D814"/>
  <c r="L813"/>
  <c r="G813"/>
  <c r="F813"/>
  <c r="E813"/>
  <c r="D813"/>
  <c r="L812"/>
  <c r="G812"/>
  <c r="F812"/>
  <c r="E812"/>
  <c r="D812"/>
  <c r="L811"/>
  <c r="K811"/>
  <c r="G811"/>
  <c r="F811"/>
  <c r="E811"/>
  <c r="D811"/>
  <c r="L810"/>
  <c r="G810"/>
  <c r="F810"/>
  <c r="E810"/>
  <c r="D810"/>
  <c r="L808"/>
  <c r="K808"/>
  <c r="J808"/>
  <c r="I808"/>
  <c r="G808"/>
  <c r="F808"/>
  <c r="E808"/>
  <c r="D808"/>
  <c r="L807"/>
  <c r="K807"/>
  <c r="J807"/>
  <c r="I807"/>
  <c r="G807"/>
  <c r="F807"/>
  <c r="E807"/>
  <c r="D807"/>
  <c r="L804"/>
  <c r="K804"/>
  <c r="J804"/>
  <c r="I804"/>
  <c r="G804"/>
  <c r="F804"/>
  <c r="E804"/>
  <c r="D804"/>
  <c r="L801"/>
  <c r="K801"/>
  <c r="J801"/>
  <c r="I801"/>
  <c r="G801"/>
  <c r="F801"/>
  <c r="E801"/>
  <c r="D801"/>
  <c r="L799"/>
  <c r="K799"/>
  <c r="J799"/>
  <c r="I799"/>
  <c r="G799"/>
  <c r="F799"/>
  <c r="E799"/>
  <c r="D799"/>
  <c r="L798"/>
  <c r="K798"/>
  <c r="G798"/>
  <c r="F798"/>
  <c r="E798"/>
  <c r="D798"/>
  <c r="L797"/>
  <c r="K797"/>
  <c r="J797"/>
  <c r="I797"/>
  <c r="G797"/>
  <c r="F797"/>
  <c r="E797"/>
  <c r="D797"/>
  <c r="L796"/>
  <c r="K796"/>
  <c r="J796"/>
  <c r="I796"/>
  <c r="G796"/>
  <c r="F796"/>
  <c r="E796"/>
  <c r="D796"/>
  <c r="L795"/>
  <c r="K795"/>
  <c r="J795"/>
  <c r="I795"/>
  <c r="G795"/>
  <c r="F795"/>
  <c r="E795"/>
  <c r="D795"/>
  <c r="L794"/>
  <c r="G794"/>
  <c r="F794"/>
  <c r="E794"/>
  <c r="D794"/>
  <c r="L793"/>
  <c r="K793"/>
  <c r="J793"/>
  <c r="I793"/>
  <c r="G793"/>
  <c r="F793"/>
  <c r="E793"/>
  <c r="D793"/>
  <c r="L791"/>
  <c r="K791"/>
  <c r="G791"/>
  <c r="F791"/>
  <c r="E791"/>
  <c r="D791"/>
  <c r="L790"/>
  <c r="G790"/>
  <c r="F790"/>
  <c r="E790"/>
  <c r="D790"/>
  <c r="L788"/>
  <c r="K788"/>
  <c r="J788"/>
  <c r="I788"/>
  <c r="G788"/>
  <c r="F788"/>
  <c r="E788"/>
  <c r="D788"/>
  <c r="L786"/>
  <c r="G786"/>
  <c r="F786"/>
  <c r="E786"/>
  <c r="D786"/>
  <c r="L785"/>
  <c r="G785"/>
  <c r="F785"/>
  <c r="E785"/>
  <c r="D785"/>
  <c r="L784"/>
  <c r="G784"/>
  <c r="F784"/>
  <c r="E784"/>
  <c r="D784"/>
  <c r="L783"/>
  <c r="G783"/>
  <c r="F783"/>
  <c r="E783"/>
  <c r="D783"/>
  <c r="L782"/>
  <c r="G782"/>
  <c r="F782"/>
  <c r="E782"/>
  <c r="D782"/>
  <c r="L778"/>
  <c r="G778"/>
  <c r="F778"/>
  <c r="E778"/>
  <c r="D778"/>
  <c r="L777"/>
  <c r="K777"/>
  <c r="G777"/>
  <c r="F777"/>
  <c r="E777"/>
  <c r="D777"/>
  <c r="L776"/>
  <c r="K776"/>
  <c r="G776"/>
  <c r="F776"/>
  <c r="E776"/>
  <c r="D776"/>
  <c r="L775"/>
  <c r="K775"/>
  <c r="G775"/>
  <c r="F775"/>
  <c r="E775"/>
  <c r="D775"/>
  <c r="L769"/>
  <c r="K769"/>
  <c r="J769"/>
  <c r="I769"/>
  <c r="G769"/>
  <c r="F769"/>
  <c r="E769"/>
  <c r="D769"/>
  <c r="L768"/>
  <c r="K768"/>
  <c r="J768"/>
  <c r="I768"/>
  <c r="G768"/>
  <c r="F768"/>
  <c r="E768"/>
  <c r="D768"/>
  <c r="L767"/>
  <c r="K767"/>
  <c r="J767"/>
  <c r="I767"/>
  <c r="G767"/>
  <c r="F767"/>
  <c r="E767"/>
  <c r="D767"/>
  <c r="L765"/>
  <c r="K765"/>
  <c r="J765"/>
  <c r="I765"/>
  <c r="G765"/>
  <c r="F765"/>
  <c r="E765"/>
  <c r="D765"/>
  <c r="L764"/>
  <c r="K764"/>
  <c r="J764"/>
  <c r="I764"/>
  <c r="G764"/>
  <c r="F764"/>
  <c r="E764"/>
  <c r="D764"/>
  <c r="L763"/>
  <c r="K763"/>
  <c r="J763"/>
  <c r="I763"/>
  <c r="G763"/>
  <c r="F763"/>
  <c r="E763"/>
  <c r="D763"/>
  <c r="L761"/>
  <c r="K761"/>
  <c r="J761"/>
  <c r="I761"/>
  <c r="G761"/>
  <c r="F761"/>
  <c r="E761"/>
  <c r="D761"/>
  <c r="L758"/>
  <c r="K758"/>
  <c r="J758"/>
  <c r="I758"/>
  <c r="G758"/>
  <c r="F758"/>
  <c r="E758"/>
  <c r="D758"/>
  <c r="L755"/>
  <c r="K755"/>
  <c r="J755"/>
  <c r="I755"/>
  <c r="G755"/>
  <c r="F755"/>
  <c r="E755"/>
  <c r="D755"/>
  <c r="L751"/>
  <c r="K751"/>
  <c r="J751"/>
  <c r="I751"/>
  <c r="G751"/>
  <c r="F751"/>
  <c r="E751"/>
  <c r="D751"/>
  <c r="L750"/>
  <c r="G750"/>
  <c r="F750"/>
  <c r="E750"/>
  <c r="D750"/>
  <c r="L747"/>
  <c r="G747"/>
  <c r="F747"/>
  <c r="E747"/>
  <c r="D747"/>
  <c r="L744"/>
  <c r="G744"/>
  <c r="F744"/>
  <c r="E744"/>
  <c r="D744"/>
  <c r="L741"/>
  <c r="K741"/>
  <c r="J741"/>
  <c r="I741"/>
  <c r="G741"/>
  <c r="F741"/>
  <c r="E741"/>
  <c r="D741"/>
  <c r="L740"/>
  <c r="G740"/>
  <c r="F740"/>
  <c r="E740"/>
  <c r="D740"/>
  <c r="L737"/>
  <c r="G737"/>
  <c r="F737"/>
  <c r="E737"/>
  <c r="D737"/>
  <c r="L736"/>
  <c r="G736"/>
  <c r="F736"/>
  <c r="E736"/>
  <c r="D736"/>
  <c r="G731"/>
  <c r="F731"/>
  <c r="E731"/>
  <c r="D731"/>
  <c r="L730"/>
  <c r="K730"/>
  <c r="J730"/>
  <c r="I730"/>
  <c r="G730"/>
  <c r="F730"/>
  <c r="E730"/>
  <c r="D730"/>
  <c r="L729"/>
  <c r="K729"/>
  <c r="J729"/>
  <c r="I729"/>
  <c r="G729"/>
  <c r="F729"/>
  <c r="E729"/>
  <c r="D729"/>
  <c r="L725"/>
  <c r="G725"/>
  <c r="F725"/>
  <c r="E725"/>
  <c r="D725"/>
  <c r="L724"/>
  <c r="G724"/>
  <c r="F724"/>
  <c r="E724"/>
  <c r="D724"/>
  <c r="L723"/>
  <c r="G723"/>
  <c r="F723"/>
  <c r="E723"/>
  <c r="D723"/>
  <c r="L722"/>
  <c r="G722"/>
  <c r="F722"/>
  <c r="E722"/>
  <c r="D722"/>
  <c r="L721"/>
  <c r="K721"/>
  <c r="G721"/>
  <c r="F721"/>
  <c r="E721"/>
  <c r="D721"/>
  <c r="L720"/>
  <c r="K720"/>
  <c r="J720"/>
  <c r="I720"/>
  <c r="G720"/>
  <c r="F720"/>
  <c r="E720"/>
  <c r="D720"/>
  <c r="L719"/>
  <c r="K719"/>
  <c r="J719"/>
  <c r="I719"/>
  <c r="G719"/>
  <c r="F719"/>
  <c r="E719"/>
  <c r="D719"/>
  <c r="L718"/>
  <c r="G718"/>
  <c r="F718"/>
  <c r="E718"/>
  <c r="D718"/>
  <c r="L717"/>
  <c r="G717"/>
  <c r="F717"/>
  <c r="E717"/>
  <c r="D717"/>
  <c r="L716"/>
  <c r="G716"/>
  <c r="F716"/>
  <c r="E716"/>
  <c r="D716"/>
  <c r="L715"/>
  <c r="G715"/>
  <c r="F715"/>
  <c r="E715"/>
  <c r="D715"/>
  <c r="L712"/>
  <c r="K712"/>
  <c r="G712"/>
  <c r="F712"/>
  <c r="E712"/>
  <c r="D712"/>
  <c r="L711"/>
  <c r="G711"/>
  <c r="F711"/>
  <c r="E711"/>
  <c r="D711"/>
  <c r="L710"/>
  <c r="G710"/>
  <c r="F710"/>
  <c r="E710"/>
  <c r="D710"/>
  <c r="L709"/>
  <c r="G709"/>
  <c r="F709"/>
  <c r="E709"/>
  <c r="D709"/>
  <c r="L708"/>
  <c r="G708"/>
  <c r="F708"/>
  <c r="E708"/>
  <c r="D708"/>
  <c r="L707"/>
  <c r="G707"/>
  <c r="F707"/>
  <c r="E707"/>
  <c r="D707"/>
  <c r="L706"/>
  <c r="K706"/>
  <c r="J706"/>
  <c r="I706"/>
  <c r="G706"/>
  <c r="F706"/>
  <c r="E706"/>
  <c r="D706"/>
  <c r="L703"/>
  <c r="K703"/>
  <c r="J703"/>
  <c r="I703"/>
  <c r="G703"/>
  <c r="F703"/>
  <c r="E703"/>
  <c r="D703"/>
  <c r="G701"/>
  <c r="F701"/>
  <c r="E701"/>
  <c r="D701"/>
  <c r="L698"/>
  <c r="K698"/>
  <c r="F698"/>
  <c r="E698"/>
  <c r="D698"/>
  <c r="L697"/>
  <c r="G697"/>
  <c r="F697"/>
  <c r="E697"/>
  <c r="D697"/>
  <c r="G696"/>
  <c r="F696"/>
  <c r="E696"/>
  <c r="D696"/>
  <c r="L695"/>
  <c r="G695"/>
  <c r="F695"/>
  <c r="E695"/>
  <c r="D695"/>
  <c r="L690"/>
  <c r="G690"/>
  <c r="F690"/>
  <c r="E690"/>
  <c r="D690"/>
  <c r="L689"/>
  <c r="G689"/>
  <c r="F689"/>
  <c r="E689"/>
  <c r="D689"/>
  <c r="L688"/>
  <c r="G688"/>
  <c r="F688"/>
  <c r="E688"/>
  <c r="D688"/>
  <c r="L687"/>
  <c r="K687"/>
  <c r="J687"/>
  <c r="I687"/>
  <c r="G687"/>
  <c r="F687"/>
  <c r="E687"/>
  <c r="D687"/>
  <c r="L686"/>
  <c r="K686"/>
  <c r="J686"/>
  <c r="I686"/>
  <c r="G686"/>
  <c r="F686"/>
  <c r="E686"/>
  <c r="D686"/>
  <c r="L685"/>
  <c r="K685"/>
  <c r="G685"/>
  <c r="F685"/>
  <c r="E685"/>
  <c r="D685"/>
  <c r="L684"/>
  <c r="K684"/>
  <c r="G684"/>
  <c r="F684"/>
  <c r="E684"/>
  <c r="D684"/>
  <c r="L683"/>
  <c r="G683"/>
  <c r="F683"/>
  <c r="E683"/>
  <c r="D683"/>
  <c r="L682"/>
  <c r="K682"/>
  <c r="G682"/>
  <c r="F682"/>
  <c r="E682"/>
  <c r="D682"/>
  <c r="L681"/>
  <c r="K681"/>
  <c r="J681"/>
  <c r="I681"/>
  <c r="G681"/>
  <c r="F681"/>
  <c r="E681"/>
  <c r="D681"/>
  <c r="L680"/>
  <c r="K680"/>
  <c r="J680"/>
  <c r="I680"/>
  <c r="G680"/>
  <c r="F680"/>
  <c r="E680"/>
  <c r="D680"/>
  <c r="L676"/>
  <c r="K676"/>
  <c r="J676"/>
  <c r="I676"/>
  <c r="G676"/>
  <c r="F676"/>
  <c r="E676"/>
  <c r="D676"/>
  <c r="L675"/>
  <c r="K675"/>
  <c r="J675"/>
  <c r="I675"/>
  <c r="G675"/>
  <c r="F675"/>
  <c r="E675"/>
  <c r="D675"/>
  <c r="L674"/>
  <c r="K674"/>
  <c r="J674"/>
  <c r="I674"/>
  <c r="G674"/>
  <c r="F674"/>
  <c r="E674"/>
  <c r="D674"/>
  <c r="L673"/>
  <c r="K673"/>
  <c r="J673"/>
  <c r="I673"/>
  <c r="G673"/>
  <c r="F673"/>
  <c r="E673"/>
  <c r="D673"/>
  <c r="L672"/>
  <c r="K672"/>
  <c r="J672"/>
  <c r="I672"/>
  <c r="G672"/>
  <c r="F672"/>
  <c r="E672"/>
  <c r="D672"/>
  <c r="L671"/>
  <c r="K671"/>
  <c r="J671"/>
  <c r="I671"/>
  <c r="G671"/>
  <c r="F671"/>
  <c r="E671"/>
  <c r="D671"/>
  <c r="L670"/>
  <c r="K670"/>
  <c r="J670"/>
  <c r="I670"/>
  <c r="G670"/>
  <c r="F670"/>
  <c r="E670"/>
  <c r="D670"/>
  <c r="L669"/>
  <c r="K669"/>
  <c r="J669"/>
  <c r="I669"/>
  <c r="G669"/>
  <c r="F669"/>
  <c r="E669"/>
  <c r="D669"/>
  <c r="L668"/>
  <c r="G668"/>
  <c r="F668"/>
  <c r="E668"/>
  <c r="D668"/>
  <c r="L667"/>
  <c r="G667"/>
  <c r="F667"/>
  <c r="E667"/>
  <c r="D667"/>
  <c r="L666"/>
  <c r="G666"/>
  <c r="F666"/>
  <c r="E666"/>
  <c r="D666"/>
  <c r="L665"/>
  <c r="G665"/>
  <c r="F665"/>
  <c r="E665"/>
  <c r="D665"/>
  <c r="L663"/>
  <c r="G663"/>
  <c r="F663"/>
  <c r="E663"/>
  <c r="D663"/>
  <c r="L662"/>
  <c r="K662"/>
  <c r="G662"/>
  <c r="F662"/>
  <c r="E662"/>
  <c r="D662"/>
  <c r="L657"/>
  <c r="K657"/>
  <c r="J657"/>
  <c r="I657"/>
  <c r="G657"/>
  <c r="F657"/>
  <c r="E657"/>
  <c r="D657"/>
  <c r="L656"/>
  <c r="K656"/>
  <c r="J656"/>
  <c r="I656"/>
  <c r="G656"/>
  <c r="F656"/>
  <c r="E656"/>
  <c r="D656"/>
  <c r="L655"/>
  <c r="K655"/>
  <c r="J655"/>
  <c r="I655"/>
  <c r="G655"/>
  <c r="F655"/>
  <c r="E655"/>
  <c r="D655"/>
  <c r="L653"/>
  <c r="K653"/>
  <c r="G653"/>
  <c r="F653"/>
  <c r="E653"/>
  <c r="D653"/>
  <c r="L652"/>
  <c r="K652"/>
  <c r="J652"/>
  <c r="I652"/>
  <c r="G652"/>
  <c r="F652"/>
  <c r="E652"/>
  <c r="D652"/>
  <c r="L651"/>
  <c r="G651"/>
  <c r="F651"/>
  <c r="E651"/>
  <c r="D651"/>
  <c r="L650"/>
  <c r="G650"/>
  <c r="F650"/>
  <c r="E650"/>
  <c r="D650"/>
  <c r="L649"/>
  <c r="K649"/>
  <c r="G649"/>
  <c r="F649"/>
  <c r="E649"/>
  <c r="D649"/>
  <c r="L644"/>
  <c r="G644"/>
  <c r="F644"/>
  <c r="E644"/>
  <c r="D644"/>
  <c r="L643"/>
  <c r="G643"/>
  <c r="F643"/>
  <c r="E643"/>
  <c r="D643"/>
  <c r="L637"/>
  <c r="G637"/>
  <c r="F637"/>
  <c r="E637"/>
  <c r="D637"/>
  <c r="L636"/>
  <c r="G636"/>
  <c r="F636"/>
  <c r="E636"/>
  <c r="D636"/>
  <c r="L635"/>
  <c r="G635"/>
  <c r="F635"/>
  <c r="E635"/>
  <c r="D635"/>
  <c r="L634"/>
  <c r="G634"/>
  <c r="F634"/>
  <c r="E634"/>
  <c r="D634"/>
  <c r="L633"/>
  <c r="G633"/>
  <c r="F633"/>
  <c r="E633"/>
  <c r="D633"/>
  <c r="L631"/>
  <c r="G631"/>
  <c r="F631"/>
  <c r="E631"/>
  <c r="D631"/>
  <c r="L629"/>
  <c r="K629"/>
  <c r="G629"/>
  <c r="F629"/>
  <c r="E629"/>
  <c r="D629"/>
  <c r="L626"/>
  <c r="K626"/>
  <c r="G626"/>
  <c r="F626"/>
  <c r="E626"/>
  <c r="D626"/>
  <c r="L625"/>
  <c r="G625"/>
  <c r="F625"/>
  <c r="E625"/>
  <c r="D625"/>
  <c r="L624"/>
  <c r="G624"/>
  <c r="F624"/>
  <c r="E624"/>
  <c r="D624"/>
  <c r="L623"/>
  <c r="G623"/>
  <c r="F623"/>
  <c r="E623"/>
  <c r="D623"/>
  <c r="L622"/>
  <c r="G622"/>
  <c r="F622"/>
  <c r="E622"/>
  <c r="D622"/>
  <c r="L620"/>
  <c r="G620"/>
  <c r="F620"/>
  <c r="E620"/>
  <c r="D620"/>
  <c r="L617"/>
  <c r="K617"/>
  <c r="J617"/>
  <c r="I617"/>
  <c r="G617"/>
  <c r="F617"/>
  <c r="E617"/>
  <c r="D617"/>
  <c r="L607"/>
  <c r="G607"/>
  <c r="F607"/>
  <c r="E607"/>
  <c r="D607"/>
  <c r="L606"/>
  <c r="G606"/>
  <c r="F606"/>
  <c r="E606"/>
  <c r="D606"/>
  <c r="L604"/>
  <c r="K604"/>
  <c r="J604"/>
  <c r="I604"/>
  <c r="G604"/>
  <c r="F604"/>
  <c r="E604"/>
  <c r="D604"/>
  <c r="L603"/>
  <c r="K603"/>
  <c r="J603"/>
  <c r="I603"/>
  <c r="G603"/>
  <c r="F603"/>
  <c r="E603"/>
  <c r="D603"/>
  <c r="L600"/>
  <c r="G600"/>
  <c r="F600"/>
  <c r="E600"/>
  <c r="D600"/>
  <c r="L599"/>
  <c r="G599"/>
  <c r="F599"/>
  <c r="E599"/>
  <c r="D599"/>
  <c r="K597"/>
  <c r="G597"/>
  <c r="F597"/>
  <c r="E597"/>
  <c r="D597"/>
  <c r="L596"/>
  <c r="K596"/>
  <c r="J596"/>
  <c r="I596"/>
  <c r="G596"/>
  <c r="F596"/>
  <c r="E596"/>
  <c r="D596"/>
  <c r="L595"/>
  <c r="K595"/>
  <c r="G595"/>
  <c r="F595"/>
  <c r="E595"/>
  <c r="D595"/>
  <c r="L591"/>
  <c r="K591"/>
  <c r="G591"/>
  <c r="F591"/>
  <c r="E591"/>
  <c r="D591"/>
  <c r="L589"/>
  <c r="K589"/>
  <c r="G589"/>
  <c r="F589"/>
  <c r="E589"/>
  <c r="D589"/>
  <c r="L583"/>
  <c r="K583"/>
  <c r="G583"/>
  <c r="F583"/>
  <c r="E583"/>
  <c r="D583"/>
  <c r="L582"/>
  <c r="G582"/>
  <c r="F582"/>
  <c r="E582"/>
  <c r="D582"/>
  <c r="L579"/>
  <c r="K579"/>
  <c r="G579"/>
  <c r="F579"/>
  <c r="E579"/>
  <c r="D579"/>
  <c r="L578"/>
  <c r="K578"/>
  <c r="G578"/>
  <c r="F578"/>
  <c r="E578"/>
  <c r="D578"/>
  <c r="L577"/>
  <c r="K577"/>
  <c r="J577"/>
  <c r="I577"/>
  <c r="G577"/>
  <c r="F577"/>
  <c r="E577"/>
  <c r="D577"/>
  <c r="L576"/>
  <c r="G576"/>
  <c r="F576"/>
  <c r="E576"/>
  <c r="D576"/>
  <c r="L575"/>
  <c r="G575"/>
  <c r="F575"/>
  <c r="E575"/>
  <c r="D575"/>
  <c r="L574"/>
  <c r="K574"/>
  <c r="J574"/>
  <c r="I574"/>
  <c r="G574"/>
  <c r="F574"/>
  <c r="E574"/>
  <c r="D574"/>
  <c r="L573"/>
  <c r="G573"/>
  <c r="F573"/>
  <c r="E573"/>
  <c r="D573"/>
  <c r="G572"/>
  <c r="F572"/>
  <c r="E572"/>
  <c r="D572"/>
  <c r="L570"/>
  <c r="K570"/>
  <c r="G570"/>
  <c r="F570"/>
  <c r="E570"/>
  <c r="D570"/>
  <c r="L567"/>
  <c r="G567"/>
  <c r="F567"/>
  <c r="E567"/>
  <c r="D567"/>
  <c r="L563"/>
  <c r="K563"/>
  <c r="G563"/>
  <c r="F563"/>
  <c r="E563"/>
  <c r="D563"/>
  <c r="L561"/>
  <c r="K561"/>
  <c r="J561"/>
  <c r="I561"/>
  <c r="G561"/>
  <c r="F561"/>
  <c r="E561"/>
  <c r="D561"/>
  <c r="L560"/>
  <c r="K560"/>
  <c r="G560"/>
  <c r="F560"/>
  <c r="E560"/>
  <c r="D560"/>
  <c r="L558"/>
  <c r="K558"/>
  <c r="J558"/>
  <c r="I558"/>
  <c r="G558"/>
  <c r="F558"/>
  <c r="E558"/>
  <c r="D558"/>
  <c r="L557"/>
  <c r="K557"/>
  <c r="J557"/>
  <c r="I557"/>
  <c r="G557"/>
  <c r="F557"/>
  <c r="E557"/>
  <c r="D557"/>
  <c r="K556"/>
  <c r="J556"/>
  <c r="I556"/>
  <c r="G556"/>
  <c r="F556"/>
  <c r="E556"/>
  <c r="D556"/>
  <c r="L555"/>
  <c r="K555"/>
  <c r="G555"/>
  <c r="F555"/>
  <c r="E555"/>
  <c r="D555"/>
  <c r="L554"/>
  <c r="G554"/>
  <c r="F554"/>
  <c r="E554"/>
  <c r="D554"/>
  <c r="L552"/>
  <c r="G552"/>
  <c r="F552"/>
  <c r="E552"/>
  <c r="D552"/>
  <c r="L551"/>
  <c r="G551"/>
  <c r="F551"/>
  <c r="E551"/>
  <c r="D551"/>
  <c r="K550"/>
  <c r="G550"/>
  <c r="F550"/>
  <c r="E550"/>
  <c r="D550"/>
  <c r="L547"/>
  <c r="K547"/>
  <c r="J547"/>
  <c r="I547"/>
  <c r="G547"/>
  <c r="F547"/>
  <c r="E547"/>
  <c r="D547"/>
  <c r="L546"/>
  <c r="G546"/>
  <c r="F546"/>
  <c r="E546"/>
  <c r="D546"/>
  <c r="L545"/>
  <c r="K545"/>
  <c r="J545"/>
  <c r="I545"/>
  <c r="G545"/>
  <c r="F545"/>
  <c r="E545"/>
  <c r="D545"/>
  <c r="L544"/>
  <c r="G544"/>
  <c r="F544"/>
  <c r="E544"/>
  <c r="D544"/>
  <c r="L541"/>
  <c r="K541"/>
  <c r="J541"/>
  <c r="I541"/>
  <c r="G541"/>
  <c r="F541"/>
  <c r="E541"/>
  <c r="D541"/>
  <c r="L540"/>
  <c r="K540"/>
  <c r="J540"/>
  <c r="I540"/>
  <c r="G540"/>
  <c r="F540"/>
  <c r="E540"/>
  <c r="D540"/>
  <c r="L539"/>
  <c r="G539"/>
  <c r="F539"/>
  <c r="E539"/>
  <c r="D539"/>
  <c r="G538"/>
  <c r="F538"/>
  <c r="E538"/>
  <c r="D538"/>
  <c r="L536"/>
  <c r="G536"/>
  <c r="F536"/>
  <c r="E536"/>
  <c r="D536"/>
  <c r="L535"/>
  <c r="K535"/>
  <c r="J535"/>
  <c r="I535"/>
  <c r="G535"/>
  <c r="F535"/>
  <c r="E535"/>
  <c r="D535"/>
  <c r="L534"/>
  <c r="K534"/>
  <c r="J534"/>
  <c r="I534"/>
  <c r="G534"/>
  <c r="F534"/>
  <c r="E534"/>
  <c r="D534"/>
  <c r="L533"/>
  <c r="G533"/>
  <c r="F533"/>
  <c r="E533"/>
  <c r="D533"/>
  <c r="L532"/>
  <c r="G532"/>
  <c r="F532"/>
  <c r="E532"/>
  <c r="D532"/>
  <c r="L530"/>
  <c r="G530"/>
  <c r="F530"/>
  <c r="E530"/>
  <c r="D530"/>
  <c r="L528"/>
  <c r="G528"/>
  <c r="F528"/>
  <c r="E528"/>
  <c r="D528"/>
  <c r="L527"/>
  <c r="K527"/>
  <c r="G527"/>
  <c r="F527"/>
  <c r="E527"/>
  <c r="D527"/>
  <c r="L526"/>
  <c r="G526"/>
  <c r="F526"/>
  <c r="E526"/>
  <c r="D526"/>
  <c r="L524"/>
  <c r="K524"/>
  <c r="J524"/>
  <c r="I524"/>
  <c r="G524"/>
  <c r="F524"/>
  <c r="E524"/>
  <c r="D524"/>
  <c r="L523"/>
  <c r="K523"/>
  <c r="J523"/>
  <c r="I523"/>
  <c r="G523"/>
  <c r="F523"/>
  <c r="E523"/>
  <c r="D523"/>
  <c r="L522"/>
  <c r="K522"/>
  <c r="J522"/>
  <c r="I522"/>
  <c r="G522"/>
  <c r="F522"/>
  <c r="E522"/>
  <c r="D522"/>
  <c r="L521"/>
  <c r="K521"/>
  <c r="J521"/>
  <c r="I521"/>
  <c r="G521"/>
  <c r="F521"/>
  <c r="E521"/>
  <c r="D521"/>
  <c r="L518"/>
  <c r="G518"/>
  <c r="F518"/>
  <c r="E518"/>
  <c r="D518"/>
  <c r="L517"/>
  <c r="G517"/>
  <c r="F517"/>
  <c r="E517"/>
  <c r="D517"/>
  <c r="L516"/>
  <c r="G516"/>
  <c r="F516"/>
  <c r="E516"/>
  <c r="D516"/>
  <c r="L514"/>
  <c r="K514"/>
  <c r="J514"/>
  <c r="I514"/>
  <c r="G514"/>
  <c r="F514"/>
  <c r="E514"/>
  <c r="D514"/>
  <c r="L512"/>
  <c r="G512"/>
  <c r="F512"/>
  <c r="E512"/>
  <c r="D512"/>
  <c r="L511"/>
  <c r="G511"/>
  <c r="F511"/>
  <c r="E511"/>
  <c r="D511"/>
  <c r="L510"/>
  <c r="G510"/>
  <c r="F510"/>
  <c r="E510"/>
  <c r="D510"/>
  <c r="L509"/>
  <c r="K509"/>
  <c r="G509"/>
  <c r="F509"/>
  <c r="E509"/>
  <c r="D509"/>
  <c r="G508"/>
  <c r="F508"/>
  <c r="E508"/>
  <c r="D508"/>
  <c r="L507"/>
  <c r="K507"/>
  <c r="J507"/>
  <c r="I507"/>
  <c r="G507"/>
  <c r="F507"/>
  <c r="E507"/>
  <c r="D507"/>
  <c r="L506"/>
  <c r="G506"/>
  <c r="F506"/>
  <c r="E506"/>
  <c r="D506"/>
  <c r="L505"/>
  <c r="K505"/>
  <c r="J505"/>
  <c r="I505"/>
  <c r="G505"/>
  <c r="F505"/>
  <c r="E505"/>
  <c r="D505"/>
  <c r="L504"/>
  <c r="K504"/>
  <c r="J504"/>
  <c r="I504"/>
  <c r="G504"/>
  <c r="F504"/>
  <c r="E504"/>
  <c r="D504"/>
  <c r="L503"/>
  <c r="K503"/>
  <c r="J503"/>
  <c r="I503"/>
  <c r="G503"/>
  <c r="F503"/>
  <c r="E503"/>
  <c r="D503"/>
  <c r="L502"/>
  <c r="G502"/>
  <c r="F502"/>
  <c r="E502"/>
  <c r="D502"/>
  <c r="G501"/>
  <c r="F501"/>
  <c r="E501"/>
  <c r="D501"/>
  <c r="L500"/>
  <c r="G500"/>
  <c r="F500"/>
  <c r="E500"/>
  <c r="D500"/>
  <c r="L499"/>
  <c r="G499"/>
  <c r="F499"/>
  <c r="E499"/>
  <c r="D499"/>
  <c r="L497"/>
  <c r="G497"/>
  <c r="F497"/>
  <c r="E497"/>
  <c r="D497"/>
  <c r="L496"/>
  <c r="G496"/>
  <c r="F496"/>
  <c r="E496"/>
  <c r="D496"/>
  <c r="L495"/>
  <c r="G495"/>
  <c r="F495"/>
  <c r="E495"/>
  <c r="D495"/>
  <c r="L493"/>
  <c r="G493"/>
  <c r="F493"/>
  <c r="E493"/>
  <c r="D493"/>
  <c r="L489"/>
  <c r="K489"/>
  <c r="J489"/>
  <c r="I489"/>
  <c r="G489"/>
  <c r="F489"/>
  <c r="E489"/>
  <c r="D489"/>
  <c r="L488"/>
  <c r="G488"/>
  <c r="F488"/>
  <c r="E488"/>
  <c r="D488"/>
  <c r="L486"/>
  <c r="K486"/>
  <c r="J486"/>
  <c r="I486"/>
  <c r="G486"/>
  <c r="F486"/>
  <c r="E486"/>
  <c r="D486"/>
  <c r="G485"/>
  <c r="F485"/>
  <c r="E485"/>
  <c r="D485"/>
  <c r="G484"/>
  <c r="F484"/>
  <c r="E484"/>
  <c r="D484"/>
  <c r="G483"/>
  <c r="F483"/>
  <c r="E483"/>
  <c r="D483"/>
  <c r="G482"/>
  <c r="F482"/>
  <c r="E482"/>
  <c r="D482"/>
  <c r="G481"/>
  <c r="F481"/>
  <c r="E481"/>
  <c r="D481"/>
  <c r="L480"/>
  <c r="K480"/>
  <c r="J480"/>
  <c r="I480"/>
  <c r="G480"/>
  <c r="F480"/>
  <c r="E480"/>
  <c r="D480"/>
  <c r="L479"/>
  <c r="K479"/>
  <c r="J479"/>
  <c r="I479"/>
  <c r="G479"/>
  <c r="F479"/>
  <c r="E479"/>
  <c r="D479"/>
  <c r="L477"/>
  <c r="K477"/>
  <c r="G477"/>
  <c r="F477"/>
  <c r="E477"/>
  <c r="D477"/>
  <c r="L476"/>
  <c r="K476"/>
  <c r="J476"/>
  <c r="I476"/>
  <c r="G476"/>
  <c r="F476"/>
  <c r="E476"/>
  <c r="D476"/>
  <c r="L475"/>
  <c r="K475"/>
  <c r="J475"/>
  <c r="I475"/>
  <c r="G475"/>
  <c r="F475"/>
  <c r="E475"/>
  <c r="D475"/>
  <c r="L474"/>
  <c r="K474"/>
  <c r="J474"/>
  <c r="I474"/>
  <c r="G474"/>
  <c r="F474"/>
  <c r="E474"/>
  <c r="D474"/>
  <c r="L473"/>
  <c r="K473"/>
  <c r="J473"/>
  <c r="I473"/>
  <c r="G473"/>
  <c r="F473"/>
  <c r="E473"/>
  <c r="D473"/>
  <c r="L471"/>
  <c r="G471"/>
  <c r="F471"/>
  <c r="E471"/>
  <c r="D471"/>
  <c r="L470"/>
  <c r="G470"/>
  <c r="F470"/>
  <c r="E470"/>
  <c r="D470"/>
  <c r="L468"/>
  <c r="G468"/>
  <c r="F468"/>
  <c r="E468"/>
  <c r="D468"/>
  <c r="L469"/>
  <c r="G469"/>
  <c r="F469"/>
  <c r="E469"/>
  <c r="D469"/>
  <c r="K464"/>
  <c r="G464"/>
  <c r="F464"/>
  <c r="E464"/>
  <c r="D464"/>
  <c r="L461"/>
  <c r="G461"/>
  <c r="F461"/>
  <c r="E461"/>
  <c r="D461"/>
  <c r="L457"/>
  <c r="K457"/>
  <c r="G457"/>
  <c r="F457"/>
  <c r="E457"/>
  <c r="D457"/>
  <c r="L456"/>
  <c r="G456"/>
  <c r="F456"/>
  <c r="E456"/>
  <c r="D456"/>
  <c r="L455"/>
  <c r="G455"/>
  <c r="F455"/>
  <c r="E455"/>
  <c r="D455"/>
  <c r="L454"/>
  <c r="G454"/>
  <c r="F454"/>
  <c r="E454"/>
  <c r="D454"/>
  <c r="G453"/>
  <c r="F453"/>
  <c r="E453"/>
  <c r="D453"/>
  <c r="L452"/>
  <c r="G452"/>
  <c r="F452"/>
  <c r="E452"/>
  <c r="D452"/>
  <c r="L451"/>
  <c r="G451"/>
  <c r="F451"/>
  <c r="E451"/>
  <c r="D451"/>
  <c r="L448"/>
  <c r="G448"/>
  <c r="F448"/>
  <c r="E448"/>
  <c r="D448"/>
  <c r="L447"/>
  <c r="G447"/>
  <c r="F447"/>
  <c r="E447"/>
  <c r="D447"/>
  <c r="G444"/>
  <c r="F444"/>
  <c r="E444"/>
  <c r="D444"/>
  <c r="L443"/>
  <c r="G443"/>
  <c r="F443"/>
  <c r="E443"/>
  <c r="D443"/>
  <c r="L442"/>
  <c r="G442"/>
  <c r="F442"/>
  <c r="E442"/>
  <c r="D442"/>
  <c r="L441"/>
  <c r="G441"/>
  <c r="F441"/>
  <c r="E441"/>
  <c r="D441"/>
  <c r="L440"/>
  <c r="G440"/>
  <c r="F440"/>
  <c r="E440"/>
  <c r="D440"/>
  <c r="L439"/>
  <c r="K439"/>
  <c r="J439"/>
  <c r="I439"/>
  <c r="G439"/>
  <c r="F439"/>
  <c r="E439"/>
  <c r="D439"/>
  <c r="L438"/>
  <c r="K438"/>
  <c r="J438"/>
  <c r="I438"/>
  <c r="G438"/>
  <c r="F438"/>
  <c r="E438"/>
  <c r="D438"/>
  <c r="L437"/>
  <c r="K437"/>
  <c r="J437"/>
  <c r="I437"/>
  <c r="G437"/>
  <c r="F437"/>
  <c r="E437"/>
  <c r="D437"/>
  <c r="G436"/>
  <c r="F436"/>
  <c r="E436"/>
  <c r="D436"/>
  <c r="L434"/>
  <c r="G434"/>
  <c r="F434"/>
  <c r="E434"/>
  <c r="D434"/>
  <c r="L433"/>
  <c r="G433"/>
  <c r="F433"/>
  <c r="E433"/>
  <c r="D433"/>
  <c r="G431"/>
  <c r="F431"/>
  <c r="E431"/>
  <c r="D431"/>
  <c r="L430"/>
  <c r="G430"/>
  <c r="F430"/>
  <c r="E430"/>
  <c r="D430"/>
  <c r="L429"/>
  <c r="G429"/>
  <c r="F429"/>
  <c r="E429"/>
  <c r="D429"/>
  <c r="L416"/>
  <c r="K416"/>
  <c r="G416"/>
  <c r="F416"/>
  <c r="E416"/>
  <c r="D416"/>
  <c r="L415"/>
  <c r="K415"/>
  <c r="G415"/>
  <c r="F415"/>
  <c r="E415"/>
  <c r="D415"/>
  <c r="L414"/>
  <c r="K414"/>
  <c r="G414"/>
  <c r="F414"/>
  <c r="E414"/>
  <c r="D414"/>
  <c r="L413"/>
  <c r="K413"/>
  <c r="G413"/>
  <c r="F413"/>
  <c r="E413"/>
  <c r="D413"/>
  <c r="G412"/>
  <c r="F412"/>
  <c r="D412"/>
  <c r="G410"/>
  <c r="F410"/>
  <c r="E410"/>
  <c r="D410"/>
  <c r="L407"/>
  <c r="G407"/>
  <c r="F407"/>
  <c r="E407"/>
  <c r="D407"/>
  <c r="L406"/>
  <c r="K406"/>
  <c r="G406"/>
  <c r="F406"/>
  <c r="E406"/>
  <c r="D406"/>
  <c r="K405"/>
  <c r="G405"/>
  <c r="F405"/>
  <c r="E405"/>
  <c r="D405"/>
  <c r="L403"/>
  <c r="K403"/>
  <c r="J403"/>
  <c r="I403"/>
  <c r="G403"/>
  <c r="F403"/>
  <c r="E403"/>
  <c r="D403"/>
  <c r="L401"/>
  <c r="K401"/>
  <c r="J401"/>
  <c r="I401"/>
  <c r="F401"/>
  <c r="E401"/>
  <c r="D401"/>
  <c r="L400"/>
  <c r="K400"/>
  <c r="J400"/>
  <c r="I400"/>
  <c r="G400"/>
  <c r="F400"/>
  <c r="E400"/>
  <c r="D400"/>
  <c r="G397"/>
  <c r="F397"/>
  <c r="E397"/>
  <c r="D397"/>
  <c r="L396"/>
  <c r="G396"/>
  <c r="F396"/>
  <c r="E396"/>
  <c r="D396"/>
  <c r="L395"/>
  <c r="K395"/>
  <c r="J395"/>
  <c r="I395"/>
  <c r="G395"/>
  <c r="F395"/>
  <c r="E395"/>
  <c r="D395"/>
  <c r="L394"/>
  <c r="K394"/>
  <c r="J394"/>
  <c r="I394"/>
  <c r="G394"/>
  <c r="F394"/>
  <c r="E394"/>
  <c r="D394"/>
  <c r="L393"/>
  <c r="K393"/>
  <c r="G393"/>
  <c r="F393"/>
  <c r="E393"/>
  <c r="D393"/>
  <c r="L392"/>
  <c r="K392"/>
  <c r="J392"/>
  <c r="I392"/>
  <c r="G392"/>
  <c r="F392"/>
  <c r="E392"/>
  <c r="D392"/>
  <c r="L391"/>
  <c r="K391"/>
  <c r="J391"/>
  <c r="I391"/>
  <c r="G391"/>
  <c r="F391"/>
  <c r="E391"/>
  <c r="D391"/>
  <c r="L388"/>
  <c r="K388"/>
  <c r="J388"/>
  <c r="I388"/>
  <c r="G388"/>
  <c r="F388"/>
  <c r="E388"/>
  <c r="D388"/>
  <c r="L387"/>
  <c r="G387"/>
  <c r="F387"/>
  <c r="E387"/>
  <c r="D387"/>
  <c r="L386"/>
  <c r="G386"/>
  <c r="F386"/>
  <c r="E386"/>
  <c r="D386"/>
  <c r="L385"/>
  <c r="G385"/>
  <c r="F385"/>
  <c r="E385"/>
  <c r="D385"/>
  <c r="K384"/>
  <c r="G384"/>
  <c r="F384"/>
  <c r="E384"/>
  <c r="D384"/>
  <c r="L383"/>
  <c r="K383"/>
  <c r="G383"/>
  <c r="F383"/>
  <c r="E383"/>
  <c r="D383"/>
  <c r="L381"/>
  <c r="G381"/>
  <c r="F381"/>
  <c r="E381"/>
  <c r="D381"/>
  <c r="L378"/>
  <c r="K378"/>
  <c r="G378"/>
  <c r="F378"/>
  <c r="E378"/>
  <c r="D378"/>
  <c r="L377"/>
  <c r="G377"/>
  <c r="F377"/>
  <c r="E377"/>
  <c r="D377"/>
  <c r="L375"/>
  <c r="K375"/>
  <c r="G375"/>
  <c r="F375"/>
  <c r="E375"/>
  <c r="D375"/>
  <c r="L373"/>
  <c r="G373"/>
  <c r="F373"/>
  <c r="E373"/>
  <c r="D373"/>
  <c r="L372"/>
  <c r="K372"/>
  <c r="J372"/>
  <c r="I372"/>
  <c r="G372"/>
  <c r="F372"/>
  <c r="E372"/>
  <c r="D372"/>
  <c r="L370"/>
  <c r="K370"/>
  <c r="G370"/>
  <c r="F370"/>
  <c r="E370"/>
  <c r="D370"/>
  <c r="L369"/>
  <c r="K369"/>
  <c r="G369"/>
  <c r="F369"/>
  <c r="E369"/>
  <c r="D369"/>
  <c r="L366"/>
  <c r="K366"/>
  <c r="G366"/>
  <c r="F366"/>
  <c r="E366"/>
  <c r="D366"/>
  <c r="L364"/>
  <c r="G364"/>
  <c r="F364"/>
  <c r="E364"/>
  <c r="D364"/>
  <c r="L362"/>
  <c r="K362"/>
  <c r="J362"/>
  <c r="I362"/>
  <c r="G362"/>
  <c r="F362"/>
  <c r="E362"/>
  <c r="D362"/>
  <c r="L359"/>
  <c r="K359"/>
  <c r="J359"/>
  <c r="I359"/>
  <c r="G359"/>
  <c r="F359"/>
  <c r="E359"/>
  <c r="D359"/>
  <c r="L356"/>
  <c r="G356"/>
  <c r="F356"/>
  <c r="E356"/>
  <c r="D356"/>
  <c r="L348"/>
  <c r="K348"/>
  <c r="J348"/>
  <c r="I348"/>
  <c r="G348"/>
  <c r="F348"/>
  <c r="E348"/>
  <c r="D348"/>
  <c r="L347"/>
  <c r="K347"/>
  <c r="J347"/>
  <c r="I347"/>
  <c r="G347"/>
  <c r="F347"/>
  <c r="E347"/>
  <c r="D347"/>
  <c r="L346"/>
  <c r="K346"/>
  <c r="G346"/>
  <c r="F346"/>
  <c r="E346"/>
  <c r="D346"/>
  <c r="L344"/>
  <c r="G344"/>
  <c r="F344"/>
  <c r="E344"/>
  <c r="D344"/>
  <c r="K342"/>
  <c r="G342"/>
  <c r="F342"/>
  <c r="E342"/>
  <c r="D342"/>
  <c r="L340"/>
  <c r="K340"/>
  <c r="J340"/>
  <c r="I340"/>
  <c r="G340"/>
  <c r="F340"/>
  <c r="E340"/>
  <c r="D340"/>
  <c r="L339"/>
  <c r="K339"/>
  <c r="J339"/>
  <c r="I339"/>
  <c r="G339"/>
  <c r="F339"/>
  <c r="E339"/>
  <c r="D339"/>
  <c r="L338"/>
  <c r="K338"/>
  <c r="J338"/>
  <c r="I338"/>
  <c r="G338"/>
  <c r="F338"/>
  <c r="E338"/>
  <c r="D338"/>
  <c r="L337"/>
  <c r="G337"/>
  <c r="F337"/>
  <c r="E337"/>
  <c r="D337"/>
  <c r="L333"/>
  <c r="K333"/>
  <c r="J333"/>
  <c r="I333"/>
  <c r="G333"/>
  <c r="F333"/>
  <c r="E333"/>
  <c r="D333"/>
  <c r="L332"/>
  <c r="K332"/>
  <c r="G332"/>
  <c r="F332"/>
  <c r="E332"/>
  <c r="D332"/>
  <c r="L330"/>
  <c r="K330"/>
  <c r="G330"/>
  <c r="F330"/>
  <c r="E330"/>
  <c r="D330"/>
  <c r="L328"/>
  <c r="K328"/>
  <c r="J328"/>
  <c r="I328"/>
  <c r="G328"/>
  <c r="F328"/>
  <c r="E328"/>
  <c r="D328"/>
  <c r="L327"/>
  <c r="K327"/>
  <c r="G327"/>
  <c r="F327"/>
  <c r="E327"/>
  <c r="D327"/>
  <c r="L326"/>
  <c r="G326"/>
  <c r="F326"/>
  <c r="E326"/>
  <c r="D326"/>
  <c r="L324"/>
  <c r="G324"/>
  <c r="F324"/>
  <c r="E324"/>
  <c r="D324"/>
  <c r="L321"/>
  <c r="K321"/>
  <c r="J321"/>
  <c r="I321"/>
  <c r="G321"/>
  <c r="F321"/>
  <c r="E321"/>
  <c r="D321"/>
  <c r="L318"/>
  <c r="K318"/>
  <c r="G318"/>
  <c r="F318"/>
  <c r="E318"/>
  <c r="D318"/>
  <c r="L317"/>
  <c r="K317"/>
  <c r="G317"/>
  <c r="F317"/>
  <c r="E317"/>
  <c r="D317"/>
  <c r="L315"/>
  <c r="G315"/>
  <c r="F315"/>
  <c r="E315"/>
  <c r="D315"/>
  <c r="L314"/>
  <c r="G314"/>
  <c r="F314"/>
  <c r="E314"/>
  <c r="D314"/>
  <c r="L312"/>
  <c r="G312"/>
  <c r="F312"/>
  <c r="E312"/>
  <c r="D312"/>
  <c r="L311"/>
  <c r="G311"/>
  <c r="F311"/>
  <c r="E311"/>
  <c r="D311"/>
  <c r="L310"/>
  <c r="K310"/>
  <c r="G310"/>
  <c r="F310"/>
  <c r="E310"/>
  <c r="D310"/>
  <c r="L309"/>
  <c r="K309"/>
  <c r="J309"/>
  <c r="I309"/>
  <c r="G309"/>
  <c r="F309"/>
  <c r="E309"/>
  <c r="D309"/>
  <c r="L308"/>
  <c r="K308"/>
  <c r="G308"/>
  <c r="F308"/>
  <c r="E308"/>
  <c r="D308"/>
  <c r="L307"/>
  <c r="K307"/>
  <c r="J307"/>
  <c r="I307"/>
  <c r="G307"/>
  <c r="F307"/>
  <c r="E307"/>
  <c r="D307"/>
  <c r="L306"/>
  <c r="G306"/>
  <c r="F306"/>
  <c r="E306"/>
  <c r="D306"/>
  <c r="L305"/>
  <c r="K305"/>
  <c r="J305"/>
  <c r="I305"/>
  <c r="G305"/>
  <c r="F305"/>
  <c r="E305"/>
  <c r="D305"/>
  <c r="G304"/>
  <c r="F304"/>
  <c r="E304"/>
  <c r="D304"/>
  <c r="L303"/>
  <c r="G303"/>
  <c r="F303"/>
  <c r="E303"/>
  <c r="D303"/>
  <c r="L302"/>
  <c r="G302"/>
  <c r="F302"/>
  <c r="E302"/>
  <c r="D302"/>
  <c r="L297"/>
  <c r="G297"/>
  <c r="F297"/>
  <c r="E297"/>
  <c r="D297"/>
  <c r="L296"/>
  <c r="G296"/>
  <c r="F296"/>
  <c r="E296"/>
  <c r="D296"/>
  <c r="L295"/>
  <c r="G295"/>
  <c r="F295"/>
  <c r="E295"/>
  <c r="D295"/>
  <c r="L294"/>
  <c r="G294"/>
  <c r="F294"/>
  <c r="E294"/>
  <c r="D294"/>
  <c r="L292"/>
  <c r="K292"/>
  <c r="J292"/>
  <c r="I292"/>
  <c r="G292"/>
  <c r="F292"/>
  <c r="E292"/>
  <c r="D292"/>
  <c r="L291"/>
  <c r="G291"/>
  <c r="F291"/>
  <c r="E291"/>
  <c r="D291"/>
  <c r="L290"/>
  <c r="K290"/>
  <c r="J290"/>
  <c r="I290"/>
  <c r="G290"/>
  <c r="F290"/>
  <c r="E290"/>
  <c r="D290"/>
  <c r="L289"/>
  <c r="K289"/>
  <c r="J289"/>
  <c r="I289"/>
  <c r="G289"/>
  <c r="F289"/>
  <c r="E289"/>
  <c r="D289"/>
  <c r="G288"/>
  <c r="F288"/>
  <c r="E288"/>
  <c r="D288"/>
  <c r="L287"/>
  <c r="G287"/>
  <c r="F287"/>
  <c r="E287"/>
  <c r="D287"/>
  <c r="G286"/>
  <c r="F286"/>
  <c r="E286"/>
  <c r="D286"/>
  <c r="L283"/>
  <c r="G283"/>
  <c r="F283"/>
  <c r="E283"/>
  <c r="D283"/>
  <c r="L280"/>
  <c r="K280"/>
  <c r="J280"/>
  <c r="I280"/>
  <c r="G280"/>
  <c r="F280"/>
  <c r="E280"/>
  <c r="D280"/>
  <c r="L279"/>
  <c r="K279"/>
  <c r="J279"/>
  <c r="I279"/>
  <c r="G279"/>
  <c r="F279"/>
  <c r="E279"/>
  <c r="D279"/>
  <c r="L277"/>
  <c r="G277"/>
  <c r="F277"/>
  <c r="E277"/>
  <c r="D277"/>
  <c r="L276"/>
  <c r="K276"/>
  <c r="J276"/>
  <c r="I276"/>
  <c r="G276"/>
  <c r="F276"/>
  <c r="E276"/>
  <c r="D276"/>
  <c r="L274"/>
  <c r="K274"/>
  <c r="J274"/>
  <c r="I274"/>
  <c r="G274"/>
  <c r="F274"/>
  <c r="E274"/>
  <c r="D274"/>
  <c r="L273"/>
  <c r="K273"/>
  <c r="J273"/>
  <c r="I273"/>
  <c r="G273"/>
  <c r="F273"/>
  <c r="E273"/>
  <c r="D273"/>
  <c r="K267"/>
  <c r="G267"/>
  <c r="F267"/>
  <c r="E267"/>
  <c r="D267"/>
  <c r="L265"/>
  <c r="G265"/>
  <c r="F265"/>
  <c r="E265"/>
  <c r="D265"/>
  <c r="L263"/>
  <c r="K263"/>
  <c r="G263"/>
  <c r="F263"/>
  <c r="E263"/>
  <c r="D263"/>
  <c r="L262"/>
  <c r="G262"/>
  <c r="F262"/>
  <c r="E262"/>
  <c r="D262"/>
  <c r="L260"/>
  <c r="G260"/>
  <c r="F260"/>
  <c r="E260"/>
  <c r="D260"/>
  <c r="L259"/>
  <c r="K259"/>
  <c r="J259"/>
  <c r="I259"/>
  <c r="G259"/>
  <c r="F259"/>
  <c r="E259"/>
  <c r="D259"/>
  <c r="L258"/>
  <c r="G258"/>
  <c r="F258"/>
  <c r="E258"/>
  <c r="D258"/>
  <c r="L257"/>
  <c r="G257"/>
  <c r="F257"/>
  <c r="E257"/>
  <c r="D257"/>
  <c r="L256"/>
  <c r="G256"/>
  <c r="F256"/>
  <c r="E256"/>
  <c r="D256"/>
  <c r="L255"/>
  <c r="K255"/>
  <c r="G255"/>
  <c r="F255"/>
  <c r="E255"/>
  <c r="D255"/>
  <c r="L254"/>
  <c r="G254"/>
  <c r="F254"/>
  <c r="E254"/>
  <c r="D254"/>
  <c r="L252"/>
  <c r="G252"/>
  <c r="F252"/>
  <c r="E252"/>
  <c r="D252"/>
  <c r="L251"/>
  <c r="K251"/>
  <c r="J251"/>
  <c r="I251"/>
  <c r="G251"/>
  <c r="F251"/>
  <c r="E251"/>
  <c r="D251"/>
  <c r="L250"/>
  <c r="G250"/>
  <c r="F250"/>
  <c r="E250"/>
  <c r="D250"/>
  <c r="L248"/>
  <c r="K248"/>
  <c r="J248"/>
  <c r="I248"/>
  <c r="G248"/>
  <c r="F248"/>
  <c r="E248"/>
  <c r="D248"/>
  <c r="L247"/>
  <c r="K247"/>
  <c r="J247"/>
  <c r="I247"/>
  <c r="G247"/>
  <c r="F247"/>
  <c r="E247"/>
  <c r="D247"/>
  <c r="L246"/>
  <c r="K246"/>
  <c r="J246"/>
  <c r="I246"/>
  <c r="G246"/>
  <c r="F246"/>
  <c r="E246"/>
  <c r="D246"/>
  <c r="L244"/>
  <c r="G244"/>
  <c r="F244"/>
  <c r="E244"/>
  <c r="D244"/>
  <c r="L243"/>
  <c r="G243"/>
  <c r="F243"/>
  <c r="E243"/>
  <c r="D243"/>
  <c r="L242"/>
  <c r="G242"/>
  <c r="F242"/>
  <c r="E242"/>
  <c r="D242"/>
  <c r="L241"/>
  <c r="G241"/>
  <c r="F241"/>
  <c r="E241"/>
  <c r="D241"/>
  <c r="L240"/>
  <c r="G240"/>
  <c r="F240"/>
  <c r="E240"/>
  <c r="D240"/>
  <c r="L238"/>
  <c r="G238"/>
  <c r="F238"/>
  <c r="E238"/>
  <c r="D238"/>
  <c r="L236"/>
  <c r="K236"/>
  <c r="J236"/>
  <c r="I236"/>
  <c r="G236"/>
  <c r="F236"/>
  <c r="E236"/>
  <c r="D236"/>
  <c r="L235"/>
  <c r="K235"/>
  <c r="J235"/>
  <c r="I235"/>
  <c r="G235"/>
  <c r="F235"/>
  <c r="E235"/>
  <c r="D235"/>
  <c r="L234"/>
  <c r="K234"/>
  <c r="J234"/>
  <c r="I234"/>
  <c r="G234"/>
  <c r="F234"/>
  <c r="E234"/>
  <c r="D234"/>
  <c r="L232"/>
  <c r="K232"/>
  <c r="J232"/>
  <c r="I232"/>
  <c r="G232"/>
  <c r="F232"/>
  <c r="E232"/>
  <c r="D232"/>
  <c r="L231"/>
  <c r="K231"/>
  <c r="J231"/>
  <c r="I231"/>
  <c r="G231"/>
  <c r="F231"/>
  <c r="E231"/>
  <c r="D231"/>
  <c r="L229"/>
  <c r="G229"/>
  <c r="F229"/>
  <c r="E229"/>
  <c r="D229"/>
  <c r="L228"/>
  <c r="G228"/>
  <c r="F228"/>
  <c r="E228"/>
  <c r="D228"/>
  <c r="G227"/>
  <c r="F227"/>
  <c r="E227"/>
  <c r="D227"/>
  <c r="L226"/>
  <c r="G226"/>
  <c r="F226"/>
  <c r="E226"/>
  <c r="D226"/>
  <c r="L225"/>
  <c r="G225"/>
  <c r="F225"/>
  <c r="E225"/>
  <c r="D225"/>
  <c r="L224"/>
  <c r="G224"/>
  <c r="F224"/>
  <c r="E224"/>
  <c r="D224"/>
  <c r="L223"/>
  <c r="G223"/>
  <c r="F223"/>
  <c r="E223"/>
  <c r="D223"/>
  <c r="L222"/>
  <c r="G222"/>
  <c r="F222"/>
  <c r="E222"/>
  <c r="D222"/>
  <c r="L221"/>
  <c r="G221"/>
  <c r="F221"/>
  <c r="E221"/>
  <c r="D221"/>
  <c r="L220"/>
  <c r="G220"/>
  <c r="F220"/>
  <c r="E220"/>
  <c r="D220"/>
  <c r="L219"/>
  <c r="G219"/>
  <c r="F219"/>
  <c r="E219"/>
  <c r="D219"/>
  <c r="L216"/>
  <c r="G216"/>
  <c r="F216"/>
  <c r="E216"/>
  <c r="D216"/>
  <c r="L215"/>
  <c r="K215"/>
  <c r="J215"/>
  <c r="I215"/>
  <c r="G215"/>
  <c r="F215"/>
  <c r="E215"/>
  <c r="D215"/>
  <c r="L214"/>
  <c r="K214"/>
  <c r="J214"/>
  <c r="I214"/>
  <c r="G214"/>
  <c r="F214"/>
  <c r="E214"/>
  <c r="D214"/>
  <c r="L213"/>
  <c r="G213"/>
  <c r="F213"/>
  <c r="E213"/>
  <c r="D213"/>
  <c r="L212"/>
  <c r="G212"/>
  <c r="F212"/>
  <c r="E212"/>
  <c r="D212"/>
  <c r="L211"/>
  <c r="G211"/>
  <c r="F211"/>
  <c r="E211"/>
  <c r="D211"/>
  <c r="L210"/>
  <c r="G210"/>
  <c r="F210"/>
  <c r="E210"/>
  <c r="D210"/>
  <c r="G208"/>
  <c r="F208"/>
  <c r="E208"/>
  <c r="D208"/>
  <c r="L207"/>
  <c r="K207"/>
  <c r="J207"/>
  <c r="I207"/>
  <c r="G207"/>
  <c r="F207"/>
  <c r="E207"/>
  <c r="D207"/>
  <c r="L205"/>
  <c r="G205"/>
  <c r="F205"/>
  <c r="E205"/>
  <c r="D205"/>
  <c r="G204"/>
  <c r="F204"/>
  <c r="E204"/>
  <c r="D204"/>
  <c r="L203"/>
  <c r="G203"/>
  <c r="F203"/>
  <c r="E203"/>
  <c r="D203"/>
  <c r="L202"/>
  <c r="K202"/>
  <c r="J202"/>
  <c r="I202"/>
  <c r="G202"/>
  <c r="F202"/>
  <c r="E202"/>
  <c r="D202"/>
  <c r="L201"/>
  <c r="K201"/>
  <c r="G201"/>
  <c r="F201"/>
  <c r="E201"/>
  <c r="D201"/>
  <c r="L199"/>
  <c r="K199"/>
  <c r="G199"/>
  <c r="F199"/>
  <c r="E199"/>
  <c r="D199"/>
  <c r="L198"/>
  <c r="K198"/>
  <c r="G198"/>
  <c r="F198"/>
  <c r="E198"/>
  <c r="D198"/>
  <c r="L197"/>
  <c r="K197"/>
  <c r="G197"/>
  <c r="F197"/>
  <c r="E197"/>
  <c r="D197"/>
  <c r="L196"/>
  <c r="K196"/>
  <c r="J196"/>
  <c r="I196"/>
  <c r="G196"/>
  <c r="F196"/>
  <c r="E196"/>
  <c r="D196"/>
  <c r="L195"/>
  <c r="K195"/>
  <c r="J195"/>
  <c r="I195"/>
  <c r="G195"/>
  <c r="F195"/>
  <c r="E195"/>
  <c r="D195"/>
  <c r="L194"/>
  <c r="G194"/>
  <c r="F194"/>
  <c r="E194"/>
  <c r="D194"/>
  <c r="L193"/>
  <c r="K193"/>
  <c r="J193"/>
  <c r="I193"/>
  <c r="G193"/>
  <c r="F193"/>
  <c r="E193"/>
  <c r="D193"/>
  <c r="L192"/>
  <c r="G192"/>
  <c r="F192"/>
  <c r="E192"/>
  <c r="D192"/>
  <c r="L189"/>
  <c r="K189"/>
  <c r="J189"/>
  <c r="I189"/>
  <c r="G189"/>
  <c r="F189"/>
  <c r="E189"/>
  <c r="D189"/>
  <c r="L188"/>
  <c r="K188"/>
  <c r="J188"/>
  <c r="I188"/>
  <c r="G188"/>
  <c r="F188"/>
  <c r="E188"/>
  <c r="D188"/>
  <c r="K187"/>
  <c r="J187"/>
  <c r="I187"/>
  <c r="G187"/>
  <c r="F187"/>
  <c r="E187"/>
  <c r="D187"/>
  <c r="G185"/>
  <c r="F185"/>
  <c r="E185"/>
  <c r="D185"/>
  <c r="L184"/>
  <c r="G184"/>
  <c r="F184"/>
  <c r="E184"/>
  <c r="D184"/>
  <c r="L183"/>
  <c r="K183"/>
  <c r="G183"/>
  <c r="F183"/>
  <c r="E183"/>
  <c r="D183"/>
  <c r="L181"/>
  <c r="G181"/>
  <c r="F181"/>
  <c r="E181"/>
  <c r="D181"/>
  <c r="L178"/>
  <c r="K178"/>
  <c r="J178"/>
  <c r="I178"/>
  <c r="G178"/>
  <c r="F178"/>
  <c r="E178"/>
  <c r="D178"/>
  <c r="L177"/>
  <c r="K177"/>
  <c r="J177"/>
  <c r="I177"/>
  <c r="G177"/>
  <c r="F177"/>
  <c r="E177"/>
  <c r="D177"/>
  <c r="L174"/>
  <c r="K174"/>
  <c r="J174"/>
  <c r="I174"/>
  <c r="G174"/>
  <c r="F174"/>
  <c r="E174"/>
  <c r="D174"/>
  <c r="G166"/>
  <c r="F166"/>
  <c r="E166"/>
  <c r="D166"/>
  <c r="L165"/>
  <c r="G165"/>
  <c r="F165"/>
  <c r="E165"/>
  <c r="D165"/>
  <c r="L163"/>
  <c r="G163"/>
  <c r="F163"/>
  <c r="E163"/>
  <c r="D163"/>
  <c r="L161"/>
  <c r="G161"/>
  <c r="F161"/>
  <c r="E161"/>
  <c r="D161"/>
  <c r="G160"/>
  <c r="F160"/>
  <c r="E160"/>
  <c r="D160"/>
  <c r="G158"/>
  <c r="F158"/>
  <c r="E158"/>
  <c r="D158"/>
  <c r="L153"/>
  <c r="K153"/>
  <c r="J153"/>
  <c r="I153"/>
  <c r="G153"/>
  <c r="F153"/>
  <c r="E153"/>
  <c r="D153"/>
  <c r="L152"/>
  <c r="K152"/>
  <c r="J152"/>
  <c r="I152"/>
  <c r="G152"/>
  <c r="F152"/>
  <c r="E152"/>
  <c r="D152"/>
  <c r="L151"/>
  <c r="K151"/>
  <c r="J151"/>
  <c r="I151"/>
  <c r="G151"/>
  <c r="F151"/>
  <c r="E151"/>
  <c r="D151"/>
  <c r="L150"/>
  <c r="K150"/>
  <c r="J150"/>
  <c r="I150"/>
  <c r="G150"/>
  <c r="F150"/>
  <c r="E150"/>
  <c r="D150"/>
  <c r="G149"/>
  <c r="F149"/>
  <c r="E149"/>
  <c r="D149"/>
  <c r="L148"/>
  <c r="K148"/>
  <c r="J148"/>
  <c r="I148"/>
  <c r="G148"/>
  <c r="F148"/>
  <c r="E148"/>
  <c r="D148"/>
  <c r="L147"/>
  <c r="G147"/>
  <c r="F147"/>
  <c r="E147"/>
  <c r="D147"/>
  <c r="L145"/>
  <c r="K145"/>
  <c r="G145"/>
  <c r="F145"/>
  <c r="E145"/>
  <c r="D145"/>
  <c r="L143"/>
  <c r="K143"/>
  <c r="G143"/>
  <c r="F143"/>
  <c r="E143"/>
  <c r="D143"/>
  <c r="L142"/>
  <c r="G142"/>
  <c r="F142"/>
  <c r="E142"/>
  <c r="D142"/>
  <c r="L141"/>
  <c r="G141"/>
  <c r="F141"/>
  <c r="E141"/>
  <c r="D141"/>
  <c r="L140"/>
  <c r="G140"/>
  <c r="F140"/>
  <c r="E140"/>
  <c r="D140"/>
  <c r="L139"/>
  <c r="G139"/>
  <c r="F139"/>
  <c r="E139"/>
  <c r="D139"/>
  <c r="L138"/>
  <c r="G138"/>
  <c r="F138"/>
  <c r="E138"/>
  <c r="D138"/>
  <c r="L137"/>
  <c r="G137"/>
  <c r="F137"/>
  <c r="E137"/>
  <c r="D137"/>
  <c r="L136"/>
  <c r="G136"/>
  <c r="F136"/>
  <c r="E136"/>
  <c r="D136"/>
  <c r="L135"/>
  <c r="G135"/>
  <c r="F135"/>
  <c r="E135"/>
  <c r="D135"/>
  <c r="L134"/>
  <c r="G134"/>
  <c r="F134"/>
  <c r="E134"/>
  <c r="D134"/>
  <c r="L133"/>
  <c r="G133"/>
  <c r="F133"/>
  <c r="E133"/>
  <c r="D133"/>
  <c r="L132"/>
  <c r="G132"/>
  <c r="F132"/>
  <c r="E132"/>
  <c r="D132"/>
  <c r="L131"/>
  <c r="G131"/>
  <c r="F131"/>
  <c r="E131"/>
  <c r="D131"/>
  <c r="L130"/>
  <c r="G130"/>
  <c r="F130"/>
  <c r="E130"/>
  <c r="D130"/>
  <c r="L129"/>
  <c r="K129"/>
  <c r="J129"/>
  <c r="I129"/>
  <c r="G129"/>
  <c r="F129"/>
  <c r="E129"/>
  <c r="D129"/>
  <c r="L128"/>
  <c r="K128"/>
  <c r="J128"/>
  <c r="I128"/>
  <c r="G128"/>
  <c r="F128"/>
  <c r="E128"/>
  <c r="D128"/>
  <c r="L126"/>
  <c r="K126"/>
  <c r="J126"/>
  <c r="I126"/>
  <c r="G126"/>
  <c r="F126"/>
  <c r="E126"/>
  <c r="D126"/>
  <c r="L125"/>
  <c r="G125"/>
  <c r="F125"/>
  <c r="E125"/>
  <c r="D125"/>
  <c r="L124"/>
  <c r="K124"/>
  <c r="J124"/>
  <c r="I124"/>
  <c r="G124"/>
  <c r="F124"/>
  <c r="E124"/>
  <c r="D124"/>
  <c r="L123"/>
  <c r="K123"/>
  <c r="J123"/>
  <c r="I123"/>
  <c r="G123"/>
  <c r="F123"/>
  <c r="E123"/>
  <c r="D123"/>
  <c r="L112"/>
  <c r="G112"/>
  <c r="F112"/>
  <c r="E112"/>
  <c r="D112"/>
  <c r="L111"/>
  <c r="G111"/>
  <c r="F111"/>
  <c r="E111"/>
  <c r="D111"/>
  <c r="L109"/>
  <c r="K109"/>
  <c r="J109"/>
  <c r="I109"/>
  <c r="G109"/>
  <c r="F109"/>
  <c r="E109"/>
  <c r="D109"/>
  <c r="L108"/>
  <c r="G108"/>
  <c r="F108"/>
  <c r="E108"/>
  <c r="D108"/>
  <c r="L107"/>
  <c r="K107"/>
  <c r="J107"/>
  <c r="I107"/>
  <c r="G107"/>
  <c r="F107"/>
  <c r="E107"/>
  <c r="D107"/>
  <c r="L106"/>
  <c r="K106"/>
  <c r="J106"/>
  <c r="I106"/>
  <c r="G106"/>
  <c r="F106"/>
  <c r="E106"/>
  <c r="D106"/>
  <c r="L105"/>
  <c r="K105"/>
  <c r="J105"/>
  <c r="I105"/>
  <c r="G105"/>
  <c r="F105"/>
  <c r="E105"/>
  <c r="D105"/>
  <c r="L103"/>
  <c r="K103"/>
  <c r="J103"/>
  <c r="I103"/>
  <c r="G103"/>
  <c r="F103"/>
  <c r="E103"/>
  <c r="D103"/>
  <c r="L100"/>
  <c r="K100"/>
  <c r="J100"/>
  <c r="I100"/>
  <c r="G100"/>
  <c r="F100"/>
  <c r="E100"/>
  <c r="D100"/>
  <c r="L99"/>
  <c r="K99"/>
  <c r="J99"/>
  <c r="I99"/>
  <c r="G99"/>
  <c r="F99"/>
  <c r="E99"/>
  <c r="D99"/>
  <c r="L98"/>
  <c r="K98"/>
  <c r="J98"/>
  <c r="I98"/>
  <c r="G98"/>
  <c r="F98"/>
  <c r="E98"/>
  <c r="D98"/>
  <c r="L97"/>
  <c r="K97"/>
  <c r="G97"/>
  <c r="F97"/>
  <c r="E97"/>
  <c r="D97"/>
  <c r="L96"/>
  <c r="K96"/>
  <c r="J96"/>
  <c r="I96"/>
  <c r="G96"/>
  <c r="F96"/>
  <c r="E96"/>
  <c r="D96"/>
  <c r="L95"/>
  <c r="K95"/>
  <c r="J95"/>
  <c r="I95"/>
  <c r="G95"/>
  <c r="F95"/>
  <c r="E95"/>
  <c r="D95"/>
  <c r="L93"/>
  <c r="G93"/>
  <c r="F93"/>
  <c r="E93"/>
  <c r="D93"/>
  <c r="L92"/>
  <c r="G92"/>
  <c r="F92"/>
  <c r="E92"/>
  <c r="D92"/>
  <c r="L91"/>
  <c r="K91"/>
  <c r="G91"/>
  <c r="F91"/>
  <c r="E91"/>
  <c r="D91"/>
  <c r="L90"/>
  <c r="G90"/>
  <c r="F90"/>
  <c r="E90"/>
  <c r="D90"/>
  <c r="L89"/>
  <c r="G89"/>
  <c r="F89"/>
  <c r="E89"/>
  <c r="D89"/>
  <c r="L88"/>
  <c r="G88"/>
  <c r="F88"/>
  <c r="E88"/>
  <c r="D88"/>
  <c r="L86"/>
  <c r="K86"/>
  <c r="G86"/>
  <c r="F86"/>
  <c r="E86"/>
  <c r="D86"/>
  <c r="L85"/>
  <c r="K85"/>
  <c r="G85"/>
  <c r="F85"/>
  <c r="E85"/>
  <c r="D85"/>
  <c r="L84"/>
  <c r="K84"/>
  <c r="J84"/>
  <c r="I84"/>
  <c r="G84"/>
  <c r="F84"/>
  <c r="E84"/>
  <c r="D84"/>
  <c r="L83"/>
  <c r="K83"/>
  <c r="J83"/>
  <c r="I83"/>
  <c r="G83"/>
  <c r="F83"/>
  <c r="E83"/>
  <c r="D83"/>
  <c r="K82"/>
  <c r="J82"/>
  <c r="I82"/>
  <c r="G82"/>
  <c r="F82"/>
  <c r="E82"/>
  <c r="D82"/>
  <c r="L81"/>
  <c r="K81"/>
  <c r="G81"/>
  <c r="F81"/>
  <c r="E81"/>
  <c r="D81"/>
  <c r="G80"/>
  <c r="F80"/>
  <c r="E80"/>
  <c r="D80"/>
  <c r="L79"/>
  <c r="K79"/>
  <c r="G79"/>
  <c r="F79"/>
  <c r="E79"/>
  <c r="D79"/>
  <c r="L78"/>
  <c r="K78"/>
  <c r="G78"/>
  <c r="F78"/>
  <c r="E78"/>
  <c r="D78"/>
  <c r="G77"/>
  <c r="F77"/>
  <c r="E77"/>
  <c r="D77"/>
  <c r="L76"/>
  <c r="K76"/>
  <c r="J76"/>
  <c r="I76"/>
  <c r="G76"/>
  <c r="F76"/>
  <c r="E76"/>
  <c r="D76"/>
  <c r="L75"/>
  <c r="K75"/>
  <c r="J75"/>
  <c r="I75"/>
  <c r="G75"/>
  <c r="F75"/>
  <c r="E75"/>
  <c r="D75"/>
  <c r="L74"/>
  <c r="K74"/>
  <c r="J74"/>
  <c r="I74"/>
  <c r="G74"/>
  <c r="F74"/>
  <c r="E74"/>
  <c r="D74"/>
  <c r="L73"/>
  <c r="K73"/>
  <c r="G73"/>
  <c r="F73"/>
  <c r="E73"/>
  <c r="D73"/>
  <c r="L72"/>
  <c r="G72"/>
  <c r="F72"/>
  <c r="E72"/>
  <c r="D72"/>
  <c r="L70"/>
  <c r="G70"/>
  <c r="F70"/>
  <c r="E70"/>
  <c r="D70"/>
  <c r="L69"/>
  <c r="G69"/>
  <c r="F69"/>
  <c r="E69"/>
  <c r="D69"/>
  <c r="G68"/>
  <c r="F68"/>
  <c r="E68"/>
  <c r="D68"/>
  <c r="L65"/>
  <c r="G65"/>
  <c r="F65"/>
  <c r="E65"/>
  <c r="D65"/>
  <c r="L64"/>
  <c r="G64"/>
  <c r="F64"/>
  <c r="E64"/>
  <c r="D64"/>
  <c r="L63"/>
  <c r="G63"/>
  <c r="F63"/>
  <c r="E63"/>
  <c r="D63"/>
  <c r="L62"/>
  <c r="K62"/>
  <c r="G62"/>
  <c r="F62"/>
  <c r="E62"/>
  <c r="D62"/>
  <c r="G61"/>
  <c r="F61"/>
  <c r="E61"/>
  <c r="D61"/>
  <c r="L60"/>
  <c r="K60"/>
  <c r="J60"/>
  <c r="I60"/>
  <c r="G60"/>
  <c r="F60"/>
  <c r="E60"/>
  <c r="D60"/>
  <c r="L59"/>
  <c r="K59"/>
  <c r="G59"/>
  <c r="F59"/>
  <c r="E59"/>
  <c r="D59"/>
  <c r="L58"/>
  <c r="K58"/>
  <c r="J58"/>
  <c r="I58"/>
  <c r="G58"/>
  <c r="F58"/>
  <c r="E58"/>
  <c r="D58"/>
  <c r="L56"/>
  <c r="K56"/>
  <c r="J56"/>
  <c r="I56"/>
  <c r="G56"/>
  <c r="F56"/>
  <c r="E56"/>
  <c r="D56"/>
  <c r="K55"/>
  <c r="J55"/>
  <c r="I55"/>
  <c r="G55"/>
  <c r="F55"/>
  <c r="E55"/>
  <c r="D55"/>
  <c r="L54"/>
  <c r="G54"/>
  <c r="F54"/>
  <c r="E54"/>
  <c r="D54"/>
  <c r="L53"/>
  <c r="G53"/>
  <c r="F53"/>
  <c r="E53"/>
  <c r="D53"/>
  <c r="L52"/>
  <c r="K52"/>
  <c r="J52"/>
  <c r="I52"/>
  <c r="G52"/>
  <c r="F52"/>
  <c r="E52"/>
  <c r="D52"/>
  <c r="L51"/>
  <c r="G51"/>
  <c r="F51"/>
  <c r="E51"/>
  <c r="D51"/>
  <c r="L50"/>
  <c r="G50"/>
  <c r="F50"/>
  <c r="E50"/>
  <c r="D50"/>
  <c r="L49"/>
  <c r="G49"/>
  <c r="F49"/>
  <c r="E49"/>
  <c r="D49"/>
  <c r="L48"/>
  <c r="G48"/>
  <c r="F48"/>
  <c r="E48"/>
  <c r="D48"/>
  <c r="L47"/>
  <c r="K47"/>
  <c r="J47"/>
  <c r="I47"/>
  <c r="G47"/>
  <c r="F47"/>
  <c r="E47"/>
  <c r="D47"/>
  <c r="L46"/>
  <c r="G46"/>
  <c r="F46"/>
  <c r="E46"/>
  <c r="D46"/>
  <c r="L45"/>
  <c r="K45"/>
  <c r="J45"/>
  <c r="I45"/>
  <c r="G45"/>
  <c r="F45"/>
  <c r="E45"/>
  <c r="D45"/>
  <c r="L43"/>
  <c r="K43"/>
  <c r="G43"/>
  <c r="F43"/>
  <c r="E43"/>
  <c r="D43"/>
  <c r="L42"/>
  <c r="K42"/>
  <c r="G42"/>
  <c r="F42"/>
  <c r="E42"/>
  <c r="D42"/>
  <c r="L40"/>
  <c r="K40"/>
  <c r="G40"/>
  <c r="F40"/>
  <c r="E40"/>
  <c r="D40"/>
  <c r="L39"/>
  <c r="K39"/>
  <c r="G39"/>
  <c r="F39"/>
  <c r="E39"/>
  <c r="D39"/>
  <c r="L37"/>
  <c r="K37"/>
  <c r="J37"/>
  <c r="I37"/>
  <c r="G37"/>
  <c r="F37"/>
  <c r="E37"/>
  <c r="D37"/>
  <c r="L36"/>
  <c r="K36"/>
  <c r="J36"/>
  <c r="I36"/>
  <c r="G36"/>
  <c r="F36"/>
  <c r="E36"/>
  <c r="D36"/>
  <c r="L34"/>
  <c r="K34"/>
  <c r="J34"/>
  <c r="I34"/>
  <c r="G34"/>
  <c r="F34"/>
  <c r="E34"/>
  <c r="D34"/>
  <c r="L32"/>
  <c r="K32"/>
  <c r="J32"/>
  <c r="I32"/>
  <c r="G32"/>
  <c r="F32"/>
  <c r="E32"/>
  <c r="D32"/>
  <c r="L31"/>
  <c r="K31"/>
  <c r="J31"/>
  <c r="I31"/>
  <c r="G31"/>
  <c r="F31"/>
  <c r="E31"/>
  <c r="D31"/>
  <c r="G30"/>
  <c r="F30"/>
  <c r="E30"/>
  <c r="D30"/>
  <c r="L26"/>
  <c r="K26"/>
  <c r="G26"/>
  <c r="F26"/>
  <c r="E26"/>
  <c r="D26"/>
  <c r="L25"/>
  <c r="G25"/>
  <c r="F25"/>
  <c r="E25"/>
  <c r="D25"/>
  <c r="L23"/>
  <c r="G23"/>
  <c r="F23"/>
  <c r="E23"/>
  <c r="D23"/>
  <c r="G22"/>
  <c r="F22"/>
  <c r="E22"/>
  <c r="D22"/>
  <c r="G21"/>
  <c r="F21"/>
  <c r="E21"/>
  <c r="D21"/>
  <c r="L20"/>
  <c r="G20"/>
  <c r="F20"/>
  <c r="E20"/>
  <c r="D20"/>
  <c r="L19"/>
  <c r="G19"/>
  <c r="F19"/>
  <c r="E19"/>
  <c r="D19"/>
  <c r="L16"/>
  <c r="G16"/>
  <c r="F16"/>
  <c r="E16"/>
  <c r="D16"/>
  <c r="L13"/>
  <c r="K13"/>
  <c r="G13"/>
  <c r="F13"/>
  <c r="E13"/>
  <c r="D13"/>
  <c r="L12"/>
  <c r="G12"/>
  <c r="F12"/>
  <c r="E12"/>
  <c r="D12"/>
  <c r="L9"/>
  <c r="G9"/>
  <c r="F9"/>
  <c r="E9"/>
  <c r="D9"/>
  <c r="L8"/>
  <c r="G8"/>
  <c r="F8"/>
  <c r="E8"/>
  <c r="D8"/>
  <c r="L5"/>
  <c r="G5"/>
  <c r="F5"/>
  <c r="E5"/>
  <c r="D5"/>
  <c r="K4"/>
  <c r="G4"/>
  <c r="F4"/>
  <c r="E4"/>
  <c r="D4"/>
  <c r="G1182"/>
  <c r="F1182"/>
  <c r="E1182"/>
  <c r="D1182"/>
</calcChain>
</file>

<file path=xl/sharedStrings.xml><?xml version="1.0" encoding="utf-8"?>
<sst xmlns="http://schemas.openxmlformats.org/spreadsheetml/2006/main" count="3077" uniqueCount="1310">
  <si>
    <t>食材</t>
    <rPh sb="0" eb="2">
      <t>ショクザイ</t>
    </rPh>
    <phoneticPr fontId="1"/>
  </si>
  <si>
    <t>量ｇ</t>
    <rPh sb="0" eb="1">
      <t>リョウ</t>
    </rPh>
    <phoneticPr fontId="1"/>
  </si>
  <si>
    <t>ｋｃａｌ</t>
    <phoneticPr fontId="1"/>
  </si>
  <si>
    <t>蛋白質</t>
    <rPh sb="0" eb="3">
      <t>タンパクシツ</t>
    </rPh>
    <phoneticPr fontId="1"/>
  </si>
  <si>
    <t>脂質ｇ</t>
    <rPh sb="0" eb="2">
      <t>シシツ</t>
    </rPh>
    <phoneticPr fontId="1"/>
  </si>
  <si>
    <t>炭水化物ｇ</t>
    <rPh sb="0" eb="4">
      <t>タンスイカブツ</t>
    </rPh>
    <phoneticPr fontId="1"/>
  </si>
  <si>
    <t>繊維
水溶</t>
    <rPh sb="0" eb="2">
      <t>センイ</t>
    </rPh>
    <rPh sb="3" eb="5">
      <t>スイヨウ</t>
    </rPh>
    <phoneticPr fontId="1"/>
  </si>
  <si>
    <t>繊維
不溶</t>
    <rPh sb="0" eb="2">
      <t>センイ</t>
    </rPh>
    <rPh sb="3" eb="5">
      <t>フヨウ</t>
    </rPh>
    <phoneticPr fontId="1"/>
  </si>
  <si>
    <t>繊維
総量</t>
    <rPh sb="0" eb="2">
      <t>センイ</t>
    </rPh>
    <rPh sb="3" eb="5">
      <t>ソウリョウ</t>
    </rPh>
    <phoneticPr fontId="1"/>
  </si>
  <si>
    <t>食塩
相当量</t>
    <rPh sb="0" eb="2">
      <t>ショクエン</t>
    </rPh>
    <rPh sb="3" eb="5">
      <t>ソウトウ</t>
    </rPh>
    <rPh sb="5" eb="6">
      <t>リョウ</t>
    </rPh>
    <phoneticPr fontId="1"/>
  </si>
  <si>
    <r>
      <t>アーモンド（素焼き</t>
    </r>
    <r>
      <rPr>
        <b/>
        <sz val="6"/>
        <color theme="1"/>
        <rFont val="ＭＳ Ｐゴシック"/>
        <family val="3"/>
        <charset val="128"/>
        <scheme val="minor"/>
      </rPr>
      <t>）42/0.065</t>
    </r>
    <rPh sb="6" eb="8">
      <t>スヤ</t>
    </rPh>
    <phoneticPr fontId="1"/>
  </si>
  <si>
    <t>アーモンド660</t>
    <phoneticPr fontId="1"/>
  </si>
  <si>
    <t>アイスミルク178/0.97</t>
    <phoneticPr fontId="1"/>
  </si>
  <si>
    <r>
      <t>青しそドレッシング</t>
    </r>
    <r>
      <rPr>
        <b/>
        <sz val="6"/>
        <color theme="1"/>
        <rFont val="ＭＳ Ｐゴシック"/>
        <family val="3"/>
        <charset val="128"/>
        <scheme val="minor"/>
      </rPr>
      <t>15/0.15</t>
    </r>
    <rPh sb="0" eb="1">
      <t>アオ</t>
    </rPh>
    <phoneticPr fontId="1"/>
  </si>
  <si>
    <r>
      <t>青じそドレッシング</t>
    </r>
    <r>
      <rPr>
        <b/>
        <sz val="6"/>
        <color theme="1"/>
        <rFont val="ＭＳ Ｐゴシック"/>
        <family val="3"/>
        <charset val="128"/>
        <scheme val="minor"/>
      </rPr>
      <t>9/0.15</t>
    </r>
    <rPh sb="0" eb="1">
      <t>アオ</t>
    </rPh>
    <phoneticPr fontId="1"/>
  </si>
  <si>
    <t>青唐辛子</t>
    <rPh sb="0" eb="1">
      <t>アオ</t>
    </rPh>
    <rPh sb="1" eb="4">
      <t>トウガラシ</t>
    </rPh>
    <phoneticPr fontId="1"/>
  </si>
  <si>
    <t>あかがい</t>
    <phoneticPr fontId="1"/>
  </si>
  <si>
    <t>揚げかまぼこ（マフラー）108/0.62</t>
    <rPh sb="0" eb="1">
      <t>ア</t>
    </rPh>
    <phoneticPr fontId="1"/>
  </si>
  <si>
    <t>揚げだし豆腐133/0.86</t>
    <rPh sb="0" eb="1">
      <t>ア</t>
    </rPh>
    <rPh sb="4" eb="6">
      <t>トウフ</t>
    </rPh>
    <phoneticPr fontId="1"/>
  </si>
  <si>
    <t>揚げだし豆腐133/6/72</t>
    <rPh sb="0" eb="1">
      <t>ア</t>
    </rPh>
    <rPh sb="4" eb="6">
      <t>トウフ</t>
    </rPh>
    <phoneticPr fontId="1"/>
  </si>
  <si>
    <r>
      <t>あけぼのサケ缶詰</t>
    </r>
    <r>
      <rPr>
        <sz val="6"/>
        <color theme="1"/>
        <rFont val="ＭＳ Ｐゴシック"/>
        <family val="3"/>
        <charset val="128"/>
        <scheme val="minor"/>
      </rPr>
      <t>113/0.9</t>
    </r>
    <rPh sb="6" eb="8">
      <t>カンヅメ</t>
    </rPh>
    <phoneticPr fontId="1"/>
  </si>
  <si>
    <t>あさり（生）</t>
    <rPh sb="4" eb="5">
      <t>ナマ</t>
    </rPh>
    <phoneticPr fontId="1"/>
  </si>
  <si>
    <t>あじ(生)</t>
    <rPh sb="3" eb="4">
      <t>ナマ</t>
    </rPh>
    <phoneticPr fontId="1"/>
  </si>
  <si>
    <t>味付海苔179</t>
    <rPh sb="0" eb="2">
      <t>アジツケ</t>
    </rPh>
    <rPh sb="2" eb="4">
      <t>ノリ</t>
    </rPh>
    <phoneticPr fontId="1"/>
  </si>
  <si>
    <t>あじ開干焼</t>
    <rPh sb="2" eb="3">
      <t>ヒラキ</t>
    </rPh>
    <rPh sb="3" eb="4">
      <t>ボシ</t>
    </rPh>
    <rPh sb="4" eb="5">
      <t>ヤキ</t>
    </rPh>
    <phoneticPr fontId="1"/>
  </si>
  <si>
    <t>小豆（乾・生）</t>
    <rPh sb="0" eb="2">
      <t>アズキ</t>
    </rPh>
    <rPh sb="3" eb="4">
      <t>カン</t>
    </rPh>
    <rPh sb="5" eb="6">
      <t>ナマ</t>
    </rPh>
    <phoneticPr fontId="1"/>
  </si>
  <si>
    <t>小豆（ゆで）</t>
    <rPh sb="0" eb="2">
      <t>アズキ</t>
    </rPh>
    <phoneticPr fontId="1"/>
  </si>
  <si>
    <t>アスパラガス(生)</t>
    <rPh sb="7" eb="8">
      <t>ナマ</t>
    </rPh>
    <phoneticPr fontId="1"/>
  </si>
  <si>
    <t>アスパラガス(ゆで)</t>
    <phoneticPr fontId="1"/>
  </si>
  <si>
    <t>厚揚げ150</t>
    <rPh sb="0" eb="2">
      <t>アツア</t>
    </rPh>
    <phoneticPr fontId="1"/>
  </si>
  <si>
    <r>
      <t>油（キャノーラ油）</t>
    </r>
    <r>
      <rPr>
        <sz val="6"/>
        <color theme="1"/>
        <rFont val="ＭＳ Ｐゴシック"/>
        <family val="3"/>
        <charset val="128"/>
        <scheme val="minor"/>
      </rPr>
      <t>126/0.14</t>
    </r>
    <rPh sb="0" eb="1">
      <t>アブラ</t>
    </rPh>
    <rPh sb="7" eb="8">
      <t>ユ</t>
    </rPh>
    <phoneticPr fontId="1"/>
  </si>
  <si>
    <t>油揚げ(小あげ)55/0.2</t>
    <rPh sb="0" eb="2">
      <t>アブラア</t>
    </rPh>
    <rPh sb="4" eb="5">
      <t>コ</t>
    </rPh>
    <phoneticPr fontId="1"/>
  </si>
  <si>
    <t>甘栗(むき)91/0.5</t>
    <rPh sb="0" eb="2">
      <t>アマグリ</t>
    </rPh>
    <phoneticPr fontId="1"/>
  </si>
  <si>
    <t>甘栗127/0.7</t>
    <rPh sb="0" eb="2">
      <t>アマグリ</t>
    </rPh>
    <phoneticPr fontId="1"/>
  </si>
  <si>
    <t>甘納豆(あずき)</t>
    <rPh sb="0" eb="3">
      <t>アマナットウ</t>
    </rPh>
    <phoneticPr fontId="1"/>
  </si>
  <si>
    <t>甘納豆(うぐいす豆)46/0.145</t>
    <rPh sb="0" eb="3">
      <t>アマナットウ</t>
    </rPh>
    <rPh sb="8" eb="9">
      <t>マメ</t>
    </rPh>
    <phoneticPr fontId="1"/>
  </si>
  <si>
    <t>甘納豆（えんどう）</t>
    <rPh sb="0" eb="3">
      <t>アマナットウ</t>
    </rPh>
    <phoneticPr fontId="1"/>
  </si>
  <si>
    <t>甘納豆(金時豆)324</t>
    <rPh sb="0" eb="3">
      <t>アマナットウ</t>
    </rPh>
    <rPh sb="4" eb="6">
      <t>キントキ</t>
    </rPh>
    <rPh sb="6" eb="7">
      <t>マメ</t>
    </rPh>
    <phoneticPr fontId="1"/>
  </si>
  <si>
    <t>甘納豆(金時豆)46/0.145</t>
    <rPh sb="0" eb="3">
      <t>アマナットウ</t>
    </rPh>
    <rPh sb="4" eb="6">
      <t>キントキ</t>
    </rPh>
    <rPh sb="6" eb="7">
      <t>マメ</t>
    </rPh>
    <phoneticPr fontId="1"/>
  </si>
  <si>
    <t>甘納豆(小豆)46/0.145</t>
    <rPh sb="0" eb="3">
      <t>アマナットウ</t>
    </rPh>
    <rPh sb="4" eb="5">
      <t>ショウ</t>
    </rPh>
    <rPh sb="5" eb="6">
      <t>マメ</t>
    </rPh>
    <phoneticPr fontId="1"/>
  </si>
  <si>
    <t>甘納豆(白花豆)46/0.145</t>
    <rPh sb="0" eb="3">
      <t>アマナットウ</t>
    </rPh>
    <rPh sb="4" eb="5">
      <t>シロ</t>
    </rPh>
    <rPh sb="5" eb="6">
      <t>ハナ</t>
    </rPh>
    <rPh sb="6" eb="7">
      <t>マメ</t>
    </rPh>
    <phoneticPr fontId="1"/>
  </si>
  <si>
    <t>甘味噌(米味噌)</t>
    <rPh sb="0" eb="1">
      <t>アマ</t>
    </rPh>
    <rPh sb="1" eb="3">
      <t>ミソ</t>
    </rPh>
    <rPh sb="4" eb="5">
      <t>コメ</t>
    </rPh>
    <rPh sb="5" eb="7">
      <t>ミソ</t>
    </rPh>
    <phoneticPr fontId="1"/>
  </si>
  <si>
    <t>あゆ（養殖・焼き）</t>
    <rPh sb="3" eb="5">
      <t>ヨウショク</t>
    </rPh>
    <rPh sb="6" eb="7">
      <t>ヤ</t>
    </rPh>
    <phoneticPr fontId="1"/>
  </si>
  <si>
    <t>あわび</t>
    <phoneticPr fontId="1"/>
  </si>
  <si>
    <t>あん(こし)</t>
    <phoneticPr fontId="1"/>
  </si>
  <si>
    <t>あん(つぶ)</t>
    <phoneticPr fontId="1"/>
  </si>
  <si>
    <t>あんず</t>
    <phoneticPr fontId="1"/>
  </si>
  <si>
    <t>あんドーナツ347</t>
    <phoneticPr fontId="1"/>
  </si>
  <si>
    <t>あんぱん（一般）</t>
    <rPh sb="5" eb="7">
      <t>イッパン</t>
    </rPh>
    <phoneticPr fontId="1"/>
  </si>
  <si>
    <t>あんパン125/0.78</t>
    <phoneticPr fontId="1"/>
  </si>
  <si>
    <t>あんぱん218/0.807</t>
    <phoneticPr fontId="1"/>
  </si>
  <si>
    <t>いか(あかいか)</t>
    <phoneticPr fontId="1"/>
  </si>
  <si>
    <t>いか(するめいか)生</t>
    <rPh sb="9" eb="10">
      <t>ナマ</t>
    </rPh>
    <phoneticPr fontId="1"/>
  </si>
  <si>
    <t>いか(するめいか)水煮</t>
    <rPh sb="9" eb="11">
      <t>ミズニ</t>
    </rPh>
    <phoneticPr fontId="1"/>
  </si>
  <si>
    <t>いか・くんせい241</t>
    <phoneticPr fontId="1"/>
  </si>
  <si>
    <t>いか薫製</t>
    <rPh sb="2" eb="4">
      <t>クンセイ</t>
    </rPh>
    <phoneticPr fontId="1"/>
  </si>
  <si>
    <t>いか燻製241</t>
    <rPh sb="2" eb="4">
      <t>クンセイ</t>
    </rPh>
    <phoneticPr fontId="1"/>
  </si>
  <si>
    <t>いくら</t>
    <phoneticPr fontId="1"/>
  </si>
  <si>
    <t>いずし（サケ）</t>
    <phoneticPr fontId="1"/>
  </si>
  <si>
    <t>いずし（ホッケ）</t>
    <phoneticPr fontId="1"/>
  </si>
  <si>
    <t>いちご</t>
    <phoneticPr fontId="1"/>
  </si>
  <si>
    <t>いちごジャム256</t>
    <phoneticPr fontId="1"/>
  </si>
  <si>
    <t>イチゴ大福278/0.67</t>
    <rPh sb="3" eb="5">
      <t>ダイフク</t>
    </rPh>
    <phoneticPr fontId="1"/>
  </si>
  <si>
    <t>糸寒天</t>
    <rPh sb="0" eb="1">
      <t>イト</t>
    </rPh>
    <rPh sb="1" eb="3">
      <t>カンテン</t>
    </rPh>
    <phoneticPr fontId="1"/>
  </si>
  <si>
    <t>いなり寿司118/0.727</t>
    <rPh sb="3" eb="5">
      <t>ズシ</t>
    </rPh>
    <phoneticPr fontId="1"/>
  </si>
  <si>
    <t>いなり寿司313/1.811</t>
    <rPh sb="3" eb="5">
      <t>ズシ</t>
    </rPh>
    <phoneticPr fontId="1"/>
  </si>
  <si>
    <t>今川焼（お焼）200/0.9</t>
    <rPh sb="0" eb="2">
      <t>イマガワ</t>
    </rPh>
    <rPh sb="2" eb="3">
      <t>ヤキ</t>
    </rPh>
    <rPh sb="5" eb="6">
      <t>ヤキ</t>
    </rPh>
    <phoneticPr fontId="1"/>
  </si>
  <si>
    <t>いも（馬鈴薯生）</t>
    <rPh sb="3" eb="6">
      <t>バレイショ</t>
    </rPh>
    <rPh sb="6" eb="7">
      <t>ナマ</t>
    </rPh>
    <phoneticPr fontId="1"/>
  </si>
  <si>
    <t>いも（馬鈴薯茹）</t>
    <rPh sb="3" eb="6">
      <t>バレイショ</t>
    </rPh>
    <rPh sb="6" eb="7">
      <t>ユ</t>
    </rPh>
    <phoneticPr fontId="1"/>
  </si>
  <si>
    <t>芋けんぴ498</t>
    <rPh sb="0" eb="1">
      <t>イモ</t>
    </rPh>
    <phoneticPr fontId="1"/>
  </si>
  <si>
    <t>芋ようかん115/0.7</t>
    <rPh sb="0" eb="1">
      <t>イモ</t>
    </rPh>
    <phoneticPr fontId="1"/>
  </si>
  <si>
    <t>いわし(まいわし)焼き</t>
    <rPh sb="9" eb="10">
      <t>ヤ</t>
    </rPh>
    <phoneticPr fontId="1"/>
  </si>
  <si>
    <t>いわし味付125</t>
    <rPh sb="3" eb="4">
      <t>アジ</t>
    </rPh>
    <rPh sb="4" eb="5">
      <t>ツ</t>
    </rPh>
    <phoneticPr fontId="1"/>
  </si>
  <si>
    <t>いわし味付125</t>
    <rPh sb="3" eb="5">
      <t>アジツケ</t>
    </rPh>
    <phoneticPr fontId="1"/>
  </si>
  <si>
    <t>いわしうま煮243</t>
    <rPh sb="5" eb="6">
      <t>ニ</t>
    </rPh>
    <phoneticPr fontId="1"/>
  </si>
  <si>
    <t>いわし味噌煮145</t>
    <rPh sb="3" eb="6">
      <t>ミソニ</t>
    </rPh>
    <phoneticPr fontId="1"/>
  </si>
  <si>
    <t>うぐいす豆（落花生）435</t>
    <rPh sb="4" eb="5">
      <t>マメ</t>
    </rPh>
    <rPh sb="6" eb="9">
      <t>ラッカセイ</t>
    </rPh>
    <phoneticPr fontId="1"/>
  </si>
  <si>
    <t>うぐいす豆240</t>
    <rPh sb="4" eb="5">
      <t>マメ</t>
    </rPh>
    <phoneticPr fontId="1"/>
  </si>
  <si>
    <t>うぐいすもち241</t>
    <phoneticPr fontId="1"/>
  </si>
  <si>
    <t>うずら豆176</t>
    <rPh sb="3" eb="4">
      <t>マメ</t>
    </rPh>
    <phoneticPr fontId="1"/>
  </si>
  <si>
    <t>ウド（生）</t>
    <rPh sb="3" eb="4">
      <t>ナマ</t>
    </rPh>
    <phoneticPr fontId="1"/>
  </si>
  <si>
    <t>ウド（水さらし）</t>
    <rPh sb="3" eb="4">
      <t>ミズ</t>
    </rPh>
    <phoneticPr fontId="1"/>
  </si>
  <si>
    <t>ウド（やまウド生）</t>
    <rPh sb="7" eb="8">
      <t>ナマ</t>
    </rPh>
    <phoneticPr fontId="1"/>
  </si>
  <si>
    <t>うどん（さぬき・半生）307</t>
    <rPh sb="8" eb="10">
      <t>ハンナマ</t>
    </rPh>
    <phoneticPr fontId="1"/>
  </si>
  <si>
    <t>うどん（干し）</t>
    <rPh sb="4" eb="5">
      <t>ホ</t>
    </rPh>
    <phoneticPr fontId="1"/>
  </si>
  <si>
    <t>うどん（干し⇒ゆで）</t>
    <rPh sb="4" eb="5">
      <t>ホ</t>
    </rPh>
    <phoneticPr fontId="1"/>
  </si>
  <si>
    <t>うどん(干し麵)327</t>
    <rPh sb="4" eb="5">
      <t>ホ</t>
    </rPh>
    <rPh sb="6" eb="7">
      <t>メン</t>
    </rPh>
    <phoneticPr fontId="1"/>
  </si>
  <si>
    <t>うどん（丸うどん・ゆで）125</t>
    <rPh sb="4" eb="5">
      <t>マル</t>
    </rPh>
    <phoneticPr fontId="1"/>
  </si>
  <si>
    <t>うどん(ゆで)</t>
    <phoneticPr fontId="1"/>
  </si>
  <si>
    <t>ウナギ蒲焼</t>
    <rPh sb="3" eb="5">
      <t>カバヤキ</t>
    </rPh>
    <phoneticPr fontId="1"/>
  </si>
  <si>
    <t>うに（生）</t>
    <rPh sb="3" eb="4">
      <t>ナマ</t>
    </rPh>
    <phoneticPr fontId="1"/>
  </si>
  <si>
    <t>梅（塩漬）24</t>
    <rPh sb="0" eb="1">
      <t>ウメ</t>
    </rPh>
    <rPh sb="2" eb="3">
      <t>シオ</t>
    </rPh>
    <rPh sb="3" eb="4">
      <t>ツケ</t>
    </rPh>
    <phoneticPr fontId="1"/>
  </si>
  <si>
    <t>梅(生)</t>
    <rPh sb="0" eb="1">
      <t>ウメ</t>
    </rPh>
    <rPh sb="2" eb="3">
      <t>ナマ</t>
    </rPh>
    <phoneticPr fontId="1"/>
  </si>
  <si>
    <t>梅干(紀州・完熟)96</t>
    <rPh sb="0" eb="2">
      <t>ウメボ</t>
    </rPh>
    <rPh sb="3" eb="5">
      <t>キシュウ</t>
    </rPh>
    <rPh sb="6" eb="8">
      <t>カンジュク</t>
    </rPh>
    <phoneticPr fontId="1"/>
  </si>
  <si>
    <t>梅干（塩漬）33</t>
    <rPh sb="0" eb="1">
      <t>ウメ</t>
    </rPh>
    <rPh sb="1" eb="2">
      <t>ホ</t>
    </rPh>
    <rPh sb="3" eb="4">
      <t>シオ</t>
    </rPh>
    <rPh sb="4" eb="5">
      <t>ツケ</t>
    </rPh>
    <phoneticPr fontId="1"/>
  </si>
  <si>
    <t>えだまめ（ゆで）</t>
    <phoneticPr fontId="1"/>
  </si>
  <si>
    <t>エノキタケ</t>
    <phoneticPr fontId="1"/>
  </si>
  <si>
    <t>えび（あまエビ生）</t>
    <rPh sb="7" eb="8">
      <t>ナマ</t>
    </rPh>
    <phoneticPr fontId="1"/>
  </si>
  <si>
    <t>エビ（いせえび生）</t>
    <rPh sb="7" eb="8">
      <t>ナマ</t>
    </rPh>
    <phoneticPr fontId="1"/>
  </si>
  <si>
    <t>エビ（くるまえび・養殖・生）</t>
    <rPh sb="9" eb="11">
      <t>ヨウショク</t>
    </rPh>
    <rPh sb="12" eb="13">
      <t>ナマ</t>
    </rPh>
    <phoneticPr fontId="1"/>
  </si>
  <si>
    <t>エビ（くるまえび・養殖・焼き）</t>
    <rPh sb="9" eb="11">
      <t>ヨウショク</t>
    </rPh>
    <rPh sb="12" eb="13">
      <t>ヤ</t>
    </rPh>
    <phoneticPr fontId="1"/>
  </si>
  <si>
    <t>エビ（くるまえび・養殖・ゆで）</t>
    <rPh sb="9" eb="11">
      <t>ヨウショク</t>
    </rPh>
    <phoneticPr fontId="1"/>
  </si>
  <si>
    <t>えび（桜エビ・素干）</t>
    <rPh sb="3" eb="4">
      <t>サクラ</t>
    </rPh>
    <rPh sb="7" eb="8">
      <t>ス</t>
    </rPh>
    <rPh sb="8" eb="9">
      <t>ボ</t>
    </rPh>
    <phoneticPr fontId="1"/>
  </si>
  <si>
    <t>えび（桜エビ・煮干）</t>
    <rPh sb="3" eb="4">
      <t>サクラ</t>
    </rPh>
    <rPh sb="7" eb="8">
      <t>ニ</t>
    </rPh>
    <rPh sb="8" eb="9">
      <t>ボ</t>
    </rPh>
    <phoneticPr fontId="1"/>
  </si>
  <si>
    <t>えび（しばエビ・生）</t>
    <rPh sb="8" eb="9">
      <t>ナマ</t>
    </rPh>
    <phoneticPr fontId="1"/>
  </si>
  <si>
    <t>えび（大正エビ・生）</t>
    <rPh sb="3" eb="5">
      <t>タイショウ</t>
    </rPh>
    <rPh sb="8" eb="9">
      <t>ナマ</t>
    </rPh>
    <phoneticPr fontId="1"/>
  </si>
  <si>
    <t>えび（佃煮）</t>
    <rPh sb="3" eb="5">
      <t>ツクダニ</t>
    </rPh>
    <phoneticPr fontId="1"/>
  </si>
  <si>
    <t>えび（ブラックタイガー）</t>
    <phoneticPr fontId="1"/>
  </si>
  <si>
    <r>
      <t>エビ</t>
    </r>
    <r>
      <rPr>
        <b/>
        <sz val="6"/>
        <color theme="1"/>
        <rFont val="ＭＳ Ｐゴシック"/>
        <family val="3"/>
        <charset val="128"/>
        <scheme val="minor"/>
      </rPr>
      <t>（ブラックタイガァ</t>
    </r>
    <r>
      <rPr>
        <sz val="8"/>
        <color theme="1"/>
        <rFont val="ＭＳ Ｐゴシック"/>
        <family val="3"/>
        <charset val="128"/>
        <scheme val="minor"/>
      </rPr>
      <t>）</t>
    </r>
    <r>
      <rPr>
        <sz val="11"/>
        <color theme="1"/>
        <rFont val="ＭＳ Ｐゴシック"/>
        <family val="3"/>
        <charset val="128"/>
        <scheme val="minor"/>
      </rPr>
      <t>養殖・生</t>
    </r>
    <rPh sb="12" eb="14">
      <t>ヨウショク</t>
    </rPh>
    <rPh sb="15" eb="16">
      <t>ナマ</t>
    </rPh>
    <phoneticPr fontId="1"/>
  </si>
  <si>
    <t>えび（干しエビ）</t>
    <rPh sb="3" eb="4">
      <t>ホ</t>
    </rPh>
    <phoneticPr fontId="1"/>
  </si>
  <si>
    <t>エビチリ132</t>
    <phoneticPr fontId="1"/>
  </si>
  <si>
    <t>えび天ぷら53/0.275</t>
    <rPh sb="2" eb="3">
      <t>テン</t>
    </rPh>
    <phoneticPr fontId="1"/>
  </si>
  <si>
    <t>エビフライ</t>
    <phoneticPr fontId="1"/>
  </si>
  <si>
    <t>エリンギ</t>
    <phoneticPr fontId="1"/>
  </si>
  <si>
    <r>
      <t>えんがわ</t>
    </r>
    <r>
      <rPr>
        <b/>
        <sz val="8"/>
        <color theme="1"/>
        <rFont val="ＭＳ Ｐゴシック"/>
        <family val="3"/>
        <charset val="128"/>
        <scheme val="minor"/>
      </rPr>
      <t>（ひらめ・養殖）</t>
    </r>
    <rPh sb="9" eb="11">
      <t>ヨウショク</t>
    </rPh>
    <phoneticPr fontId="1"/>
  </si>
  <si>
    <t>おから（旧製法）</t>
    <rPh sb="4" eb="5">
      <t>キュウ</t>
    </rPh>
    <rPh sb="5" eb="7">
      <t>セイホウ</t>
    </rPh>
    <phoneticPr fontId="1"/>
  </si>
  <si>
    <t>おから（新製法）</t>
    <rPh sb="4" eb="5">
      <t>シン</t>
    </rPh>
    <rPh sb="5" eb="7">
      <t>セイホウ</t>
    </rPh>
    <phoneticPr fontId="1"/>
  </si>
  <si>
    <t>オクラ（生）</t>
    <rPh sb="4" eb="5">
      <t>ナマ</t>
    </rPh>
    <phoneticPr fontId="1"/>
  </si>
  <si>
    <t>オクラ（ゆで）</t>
    <phoneticPr fontId="1"/>
  </si>
  <si>
    <t>お好みソース26/0.18</t>
    <rPh sb="1" eb="2">
      <t>コノ</t>
    </rPh>
    <phoneticPr fontId="1"/>
  </si>
  <si>
    <r>
      <t>お好み焼き(広島風)</t>
    </r>
    <r>
      <rPr>
        <sz val="6"/>
        <color theme="1"/>
        <rFont val="ＭＳ Ｐゴシック"/>
        <family val="3"/>
        <charset val="128"/>
        <scheme val="minor"/>
      </rPr>
      <t>663.1/3.67</t>
    </r>
    <rPh sb="1" eb="2">
      <t>コノ</t>
    </rPh>
    <rPh sb="3" eb="4">
      <t>ヤ</t>
    </rPh>
    <rPh sb="6" eb="8">
      <t>ヒロシマ</t>
    </rPh>
    <rPh sb="8" eb="9">
      <t>フウ</t>
    </rPh>
    <phoneticPr fontId="1"/>
  </si>
  <si>
    <t>お好み焼き粉340</t>
    <rPh sb="1" eb="2">
      <t>コノ</t>
    </rPh>
    <rPh sb="3" eb="4">
      <t>ヤ</t>
    </rPh>
    <rPh sb="5" eb="6">
      <t>コ</t>
    </rPh>
    <phoneticPr fontId="1"/>
  </si>
  <si>
    <t>お好み焼き粉348</t>
    <rPh sb="1" eb="2">
      <t>コノ</t>
    </rPh>
    <rPh sb="3" eb="4">
      <t>ヤ</t>
    </rPh>
    <rPh sb="5" eb="6">
      <t>コ</t>
    </rPh>
    <phoneticPr fontId="1"/>
  </si>
  <si>
    <t>お好み焼きソース</t>
    <rPh sb="1" eb="2">
      <t>コノ</t>
    </rPh>
    <rPh sb="3" eb="4">
      <t>ヤ</t>
    </rPh>
    <phoneticPr fontId="1"/>
  </si>
  <si>
    <t>お好み焼きそば257/1.5</t>
    <rPh sb="1" eb="2">
      <t>コノ</t>
    </rPh>
    <rPh sb="3" eb="4">
      <t>ヤ</t>
    </rPh>
    <phoneticPr fontId="1"/>
  </si>
  <si>
    <t>おでん（大根）</t>
    <rPh sb="4" eb="6">
      <t>ダイコン</t>
    </rPh>
    <phoneticPr fontId="1"/>
  </si>
  <si>
    <t>おでん（卵）</t>
    <rPh sb="4" eb="5">
      <t>タマゴ</t>
    </rPh>
    <phoneticPr fontId="1"/>
  </si>
  <si>
    <t>おでん（豆腐）</t>
    <rPh sb="4" eb="6">
      <t>トウフ</t>
    </rPh>
    <phoneticPr fontId="1"/>
  </si>
  <si>
    <t>おでん汁18/0.75</t>
    <rPh sb="3" eb="4">
      <t>ツユ</t>
    </rPh>
    <phoneticPr fontId="1"/>
  </si>
  <si>
    <t>おはぎ180/0.6726</t>
    <phoneticPr fontId="1"/>
  </si>
  <si>
    <t>おひょう（生）</t>
    <rPh sb="5" eb="6">
      <t>ナマ</t>
    </rPh>
    <phoneticPr fontId="1"/>
  </si>
  <si>
    <t>おやつめかぶ14/0.1</t>
    <phoneticPr fontId="1"/>
  </si>
  <si>
    <t>オレンジ(清見)70/1.4</t>
    <rPh sb="5" eb="7">
      <t>キヨミ</t>
    </rPh>
    <phoneticPr fontId="1"/>
  </si>
  <si>
    <t>オレンジ（ネーブル）</t>
    <phoneticPr fontId="1"/>
  </si>
  <si>
    <t>オレンジ（バレンシア）</t>
    <phoneticPr fontId="1"/>
  </si>
  <si>
    <t>御前水もやし14</t>
    <rPh sb="0" eb="1">
      <t>オン</t>
    </rPh>
    <rPh sb="1" eb="2">
      <t>ゼン</t>
    </rPh>
    <rPh sb="2" eb="3">
      <t>ミズ</t>
    </rPh>
    <phoneticPr fontId="1"/>
  </si>
  <si>
    <t>かいわれ大根</t>
    <rPh sb="4" eb="6">
      <t>ダイコン</t>
    </rPh>
    <phoneticPr fontId="1"/>
  </si>
  <si>
    <t>かき（貝・養殖）</t>
    <rPh sb="3" eb="4">
      <t>カイ</t>
    </rPh>
    <rPh sb="5" eb="7">
      <t>ヨウショク</t>
    </rPh>
    <phoneticPr fontId="1"/>
  </si>
  <si>
    <t>柿（生）</t>
    <rPh sb="0" eb="1">
      <t>カキ</t>
    </rPh>
    <rPh sb="2" eb="3">
      <t>ナマ</t>
    </rPh>
    <phoneticPr fontId="1"/>
  </si>
  <si>
    <t>柿（干し柿）</t>
    <rPh sb="0" eb="1">
      <t>カキ</t>
    </rPh>
    <rPh sb="2" eb="3">
      <t>ホ</t>
    </rPh>
    <rPh sb="4" eb="5">
      <t>ガキ</t>
    </rPh>
    <phoneticPr fontId="1"/>
  </si>
  <si>
    <t>かき揚げ192</t>
    <rPh sb="2" eb="3">
      <t>ア</t>
    </rPh>
    <phoneticPr fontId="1"/>
  </si>
  <si>
    <r>
      <t>かき揚げうどん</t>
    </r>
    <r>
      <rPr>
        <b/>
        <sz val="8"/>
        <color theme="1"/>
        <rFont val="ＭＳ Ｐゴシック"/>
        <family val="3"/>
        <charset val="128"/>
        <scheme val="minor"/>
      </rPr>
      <t>416/4.572</t>
    </r>
    <rPh sb="2" eb="3">
      <t>ア</t>
    </rPh>
    <phoneticPr fontId="1"/>
  </si>
  <si>
    <t>かき揚げそば466/7.167</t>
    <rPh sb="2" eb="3">
      <t>ア</t>
    </rPh>
    <phoneticPr fontId="1"/>
  </si>
  <si>
    <t>角寒天</t>
    <rPh sb="0" eb="1">
      <t>カク</t>
    </rPh>
    <rPh sb="1" eb="3">
      <t>カンテン</t>
    </rPh>
    <phoneticPr fontId="1"/>
  </si>
  <si>
    <t>菓子・げっぺい</t>
    <rPh sb="0" eb="2">
      <t>カシ</t>
    </rPh>
    <phoneticPr fontId="1"/>
  </si>
  <si>
    <t>菓子プリッツ155/0.31</t>
    <rPh sb="0" eb="2">
      <t>カシ</t>
    </rPh>
    <phoneticPr fontId="1"/>
  </si>
  <si>
    <t>カシューナッツ130/0.2</t>
    <phoneticPr fontId="1"/>
  </si>
  <si>
    <t>カシューナッツ630</t>
    <phoneticPr fontId="1"/>
  </si>
  <si>
    <t>カステラ</t>
    <phoneticPr fontId="1"/>
  </si>
  <si>
    <t>かずのこ（塩蔵）</t>
    <rPh sb="5" eb="6">
      <t>シオ</t>
    </rPh>
    <rPh sb="6" eb="7">
      <t>クラ</t>
    </rPh>
    <phoneticPr fontId="1"/>
  </si>
  <si>
    <t>かすべ（えい・生）</t>
    <rPh sb="7" eb="8">
      <t>ナマ</t>
    </rPh>
    <phoneticPr fontId="1"/>
  </si>
  <si>
    <t>片栗粉</t>
    <rPh sb="0" eb="3">
      <t>カタクリコ</t>
    </rPh>
    <phoneticPr fontId="1"/>
  </si>
  <si>
    <t>片栗粉330</t>
    <rPh sb="0" eb="3">
      <t>カタクリコ</t>
    </rPh>
    <phoneticPr fontId="1"/>
  </si>
  <si>
    <t>かつお(秋獲り)生</t>
    <rPh sb="4" eb="5">
      <t>アキ</t>
    </rPh>
    <rPh sb="5" eb="6">
      <t>ト</t>
    </rPh>
    <rPh sb="8" eb="9">
      <t>ナマ</t>
    </rPh>
    <phoneticPr fontId="1"/>
  </si>
  <si>
    <t>カツオ（カツオ節）</t>
    <rPh sb="7" eb="8">
      <t>ブシ</t>
    </rPh>
    <phoneticPr fontId="1"/>
  </si>
  <si>
    <t>カツオ（削り節）</t>
    <rPh sb="4" eb="5">
      <t>ケズ</t>
    </rPh>
    <rPh sb="6" eb="7">
      <t>ブシ</t>
    </rPh>
    <phoneticPr fontId="1"/>
  </si>
  <si>
    <t>かつお(春獲り)生</t>
    <rPh sb="4" eb="5">
      <t>ハル</t>
    </rPh>
    <rPh sb="5" eb="6">
      <t>ト</t>
    </rPh>
    <rPh sb="8" eb="9">
      <t>ナマ</t>
    </rPh>
    <phoneticPr fontId="1"/>
  </si>
  <si>
    <t>かに(毛ガニ・生)</t>
    <rPh sb="3" eb="4">
      <t>ケ</t>
    </rPh>
    <rPh sb="7" eb="8">
      <t>ナマ</t>
    </rPh>
    <phoneticPr fontId="1"/>
  </si>
  <si>
    <t>かに(毛ガニ・ゆで)</t>
    <rPh sb="3" eb="4">
      <t>ケ</t>
    </rPh>
    <phoneticPr fontId="1"/>
  </si>
  <si>
    <t>かに(ズワイガニ・生)</t>
    <rPh sb="9" eb="10">
      <t>ナマ</t>
    </rPh>
    <phoneticPr fontId="1"/>
  </si>
  <si>
    <r>
      <t>かに(ズワイガニ・</t>
    </r>
    <r>
      <rPr>
        <b/>
        <sz val="8"/>
        <color theme="1"/>
        <rFont val="ＭＳ Ｐゴシック"/>
        <family val="3"/>
        <charset val="128"/>
        <scheme val="minor"/>
      </rPr>
      <t>水煮缶詰</t>
    </r>
    <r>
      <rPr>
        <sz val="11"/>
        <color theme="1"/>
        <rFont val="ＭＳ Ｐゴシック"/>
        <family val="3"/>
        <charset val="128"/>
        <scheme val="minor"/>
      </rPr>
      <t>)</t>
    </r>
    <rPh sb="9" eb="11">
      <t>ミズニ</t>
    </rPh>
    <rPh sb="11" eb="13">
      <t>カンヅメ</t>
    </rPh>
    <phoneticPr fontId="1"/>
  </si>
  <si>
    <t>かに(ズワイガニ・ゆで)</t>
    <phoneticPr fontId="1"/>
  </si>
  <si>
    <t>かに(タラバガニ・生)</t>
    <rPh sb="9" eb="10">
      <t>ナマ</t>
    </rPh>
    <phoneticPr fontId="1"/>
  </si>
  <si>
    <r>
      <t>かに(タラバガニ・</t>
    </r>
    <r>
      <rPr>
        <b/>
        <sz val="8"/>
        <color theme="1"/>
        <rFont val="ＭＳ Ｐゴシック"/>
        <family val="3"/>
        <charset val="128"/>
        <scheme val="minor"/>
      </rPr>
      <t>水煮缶詰</t>
    </r>
    <r>
      <rPr>
        <sz val="11"/>
        <color theme="1"/>
        <rFont val="ＭＳ Ｐゴシック"/>
        <family val="3"/>
        <charset val="128"/>
        <scheme val="minor"/>
      </rPr>
      <t>)</t>
    </r>
    <rPh sb="9" eb="11">
      <t>ミズニ</t>
    </rPh>
    <rPh sb="11" eb="13">
      <t>カンヅメ</t>
    </rPh>
    <phoneticPr fontId="1"/>
  </si>
  <si>
    <t>かに(タラバガニ・ゆで)</t>
    <phoneticPr fontId="1"/>
  </si>
  <si>
    <t>カニカマボコ11/0.125</t>
    <phoneticPr fontId="1"/>
  </si>
  <si>
    <t>カニカマボコ46/0.54</t>
    <phoneticPr fontId="1"/>
  </si>
  <si>
    <t>カニ風カマボコ90</t>
    <rPh sb="2" eb="3">
      <t>フウ</t>
    </rPh>
    <phoneticPr fontId="1"/>
  </si>
  <si>
    <t>かぶ（皮つき・生）</t>
    <rPh sb="3" eb="4">
      <t>カワ</t>
    </rPh>
    <rPh sb="7" eb="8">
      <t>ナマ</t>
    </rPh>
    <phoneticPr fontId="1"/>
  </si>
  <si>
    <t>かぶ（皮むき・生）</t>
    <rPh sb="3" eb="4">
      <t>カワ</t>
    </rPh>
    <rPh sb="7" eb="8">
      <t>ナマ</t>
    </rPh>
    <phoneticPr fontId="1"/>
  </si>
  <si>
    <t>かぼちゃ</t>
    <phoneticPr fontId="1"/>
  </si>
  <si>
    <t>南瓜（西洋・生）</t>
    <rPh sb="0" eb="2">
      <t>カボチャ</t>
    </rPh>
    <rPh sb="3" eb="5">
      <t>セイヨウ</t>
    </rPh>
    <rPh sb="6" eb="7">
      <t>ナマ</t>
    </rPh>
    <phoneticPr fontId="1"/>
  </si>
  <si>
    <t>南瓜（西洋・ゆで）</t>
    <rPh sb="0" eb="2">
      <t>カボチャ</t>
    </rPh>
    <rPh sb="3" eb="5">
      <t>セイヨウ</t>
    </rPh>
    <phoneticPr fontId="1"/>
  </si>
  <si>
    <t>かまぼこ（蒸し）</t>
    <rPh sb="5" eb="6">
      <t>ム</t>
    </rPh>
    <phoneticPr fontId="1"/>
  </si>
  <si>
    <t>カモ肉</t>
    <rPh sb="2" eb="3">
      <t>ニク</t>
    </rPh>
    <phoneticPr fontId="1"/>
  </si>
  <si>
    <t>から揚げ290</t>
    <rPh sb="2" eb="3">
      <t>ア</t>
    </rPh>
    <phoneticPr fontId="1"/>
  </si>
  <si>
    <t>からし（ねり）</t>
    <phoneticPr fontId="1"/>
  </si>
  <si>
    <t>辛子明太子</t>
    <rPh sb="0" eb="2">
      <t>カラシ</t>
    </rPh>
    <rPh sb="2" eb="5">
      <t>メンタイコ</t>
    </rPh>
    <phoneticPr fontId="1"/>
  </si>
  <si>
    <t>樺太シシャモ生干・焼</t>
    <rPh sb="0" eb="2">
      <t>カラフト</t>
    </rPh>
    <rPh sb="6" eb="8">
      <t>ナマヒ</t>
    </rPh>
    <rPh sb="9" eb="10">
      <t>ヤ</t>
    </rPh>
    <phoneticPr fontId="1"/>
  </si>
  <si>
    <t>カリフラワー（生）</t>
    <rPh sb="7" eb="8">
      <t>ナマ</t>
    </rPh>
    <phoneticPr fontId="1"/>
  </si>
  <si>
    <t>カリフラワー（ゆで）</t>
    <phoneticPr fontId="1"/>
  </si>
  <si>
    <t>かりんとう</t>
    <phoneticPr fontId="1"/>
  </si>
  <si>
    <t>かりんとう(黒太鼓)502</t>
    <rPh sb="6" eb="7">
      <t>クロ</t>
    </rPh>
    <rPh sb="7" eb="9">
      <t>タイコ</t>
    </rPh>
    <phoneticPr fontId="1"/>
  </si>
  <si>
    <t>かりんとう133/0.25</t>
    <phoneticPr fontId="1"/>
  </si>
  <si>
    <t>カルシウムせんべい380</t>
    <phoneticPr fontId="1"/>
  </si>
  <si>
    <t>カレー（魚干 ）</t>
    <rPh sb="4" eb="5">
      <t>サカナ</t>
    </rPh>
    <rPh sb="5" eb="6">
      <t>ホ</t>
    </rPh>
    <phoneticPr fontId="1"/>
  </si>
  <si>
    <t>カレー（ポーク・御飯無）</t>
    <rPh sb="8" eb="10">
      <t>ゴハン</t>
    </rPh>
    <rPh sb="10" eb="11">
      <t>ナシ</t>
    </rPh>
    <phoneticPr fontId="1"/>
  </si>
  <si>
    <t>カレー（まがれい魚生）</t>
    <rPh sb="8" eb="9">
      <t>サカナ</t>
    </rPh>
    <rPh sb="9" eb="10">
      <t>ナマ</t>
    </rPh>
    <phoneticPr fontId="1"/>
  </si>
  <si>
    <t>カレー（まがれい魚水煮）</t>
    <rPh sb="8" eb="9">
      <t>サカナ</t>
    </rPh>
    <rPh sb="9" eb="11">
      <t>ミズニ</t>
    </rPh>
    <phoneticPr fontId="1"/>
  </si>
  <si>
    <t>カレー（まがれい魚焼）</t>
    <rPh sb="8" eb="9">
      <t>サカナ</t>
    </rPh>
    <rPh sb="9" eb="10">
      <t>ヤキ</t>
    </rPh>
    <phoneticPr fontId="1"/>
  </si>
  <si>
    <t>カレー・ルウ</t>
    <phoneticPr fontId="1"/>
  </si>
  <si>
    <r>
      <t>カレー・ルウ（</t>
    </r>
    <r>
      <rPr>
        <b/>
        <sz val="6"/>
        <color theme="1"/>
        <rFont val="ＭＳ Ｐゴシック"/>
        <family val="3"/>
        <charset val="128"/>
        <scheme val="minor"/>
      </rPr>
      <t>こくまろ</t>
    </r>
    <r>
      <rPr>
        <b/>
        <sz val="9"/>
        <color theme="1"/>
        <rFont val="ＭＳ Ｐゴシック"/>
        <family val="3"/>
        <charset val="128"/>
        <scheme val="minor"/>
      </rPr>
      <t>・辛口）</t>
    </r>
    <r>
      <rPr>
        <b/>
        <sz val="8"/>
        <color theme="1"/>
        <rFont val="ＭＳ Ｐゴシック"/>
        <family val="3"/>
        <charset val="128"/>
        <scheme val="minor"/>
      </rPr>
      <t>89/0.175</t>
    </r>
    <rPh sb="12" eb="14">
      <t>カラクチ</t>
    </rPh>
    <phoneticPr fontId="1"/>
  </si>
  <si>
    <r>
      <t>カレー・ルウ（</t>
    </r>
    <r>
      <rPr>
        <b/>
        <sz val="6"/>
        <color theme="1"/>
        <rFont val="ＭＳ Ｐゴシック"/>
        <family val="3"/>
        <charset val="128"/>
        <scheme val="minor"/>
      </rPr>
      <t>こくまろ</t>
    </r>
    <r>
      <rPr>
        <b/>
        <sz val="9"/>
        <color theme="1"/>
        <rFont val="ＭＳ Ｐゴシック"/>
        <family val="3"/>
        <charset val="128"/>
        <scheme val="minor"/>
      </rPr>
      <t>・中辛）</t>
    </r>
    <r>
      <rPr>
        <b/>
        <sz val="8"/>
        <color theme="1"/>
        <rFont val="ＭＳ Ｐゴシック"/>
        <family val="3"/>
        <charset val="128"/>
        <scheme val="minor"/>
      </rPr>
      <t>96/0.19</t>
    </r>
    <rPh sb="12" eb="14">
      <t>チュウカラ</t>
    </rPh>
    <phoneticPr fontId="1"/>
  </si>
  <si>
    <t>瓦せんべい429</t>
    <rPh sb="0" eb="1">
      <t>カワラ</t>
    </rPh>
    <phoneticPr fontId="1"/>
  </si>
  <si>
    <t>寒天（角棒）12/0.075</t>
    <rPh sb="0" eb="2">
      <t>カンテン</t>
    </rPh>
    <rPh sb="3" eb="4">
      <t>カク</t>
    </rPh>
    <rPh sb="4" eb="5">
      <t>ボウ</t>
    </rPh>
    <phoneticPr fontId="1"/>
  </si>
  <si>
    <t>乾パン</t>
    <rPh sb="0" eb="1">
      <t>カン</t>
    </rPh>
    <phoneticPr fontId="1"/>
  </si>
  <si>
    <t>がんもどき</t>
    <phoneticPr fontId="1"/>
  </si>
  <si>
    <t>キウイフルーツ</t>
    <phoneticPr fontId="1"/>
  </si>
  <si>
    <r>
      <t>北の卵サブレー</t>
    </r>
    <r>
      <rPr>
        <b/>
        <sz val="9"/>
        <color theme="1"/>
        <rFont val="ＭＳ Ｐゴシック"/>
        <family val="3"/>
        <charset val="128"/>
        <scheme val="minor"/>
      </rPr>
      <t>50/0.108</t>
    </r>
    <rPh sb="0" eb="1">
      <t>キタ</t>
    </rPh>
    <rPh sb="2" eb="3">
      <t>タマゴ</t>
    </rPh>
    <phoneticPr fontId="1"/>
  </si>
  <si>
    <t>きな粉(全粒大豆)</t>
    <rPh sb="2" eb="3">
      <t>コ</t>
    </rPh>
    <rPh sb="4" eb="5">
      <t>ゼン</t>
    </rPh>
    <rPh sb="5" eb="6">
      <t>ツブ</t>
    </rPh>
    <rPh sb="6" eb="8">
      <t>ダイズ</t>
    </rPh>
    <phoneticPr fontId="1"/>
  </si>
  <si>
    <t>きな粉(脱皮大豆)</t>
    <rPh sb="2" eb="3">
      <t>コ</t>
    </rPh>
    <rPh sb="4" eb="6">
      <t>ダッピ</t>
    </rPh>
    <rPh sb="6" eb="8">
      <t>ダイズ</t>
    </rPh>
    <phoneticPr fontId="1"/>
  </si>
  <si>
    <t>きなこねじり387</t>
    <phoneticPr fontId="1"/>
  </si>
  <si>
    <t>き花(菓子・壺屋)・推定</t>
    <rPh sb="1" eb="2">
      <t>ハナ</t>
    </rPh>
    <rPh sb="3" eb="5">
      <t>カシ</t>
    </rPh>
    <rPh sb="6" eb="7">
      <t>ツボ</t>
    </rPh>
    <rPh sb="7" eb="8">
      <t>ヤ</t>
    </rPh>
    <rPh sb="10" eb="12">
      <t>スイテイ</t>
    </rPh>
    <phoneticPr fontId="1"/>
  </si>
  <si>
    <t>きびだんご（谷田）352</t>
    <rPh sb="6" eb="8">
      <t>タニタ</t>
    </rPh>
    <phoneticPr fontId="1"/>
  </si>
  <si>
    <t>キャノーラ油126/0.14</t>
    <rPh sb="5" eb="6">
      <t>ユ</t>
    </rPh>
    <phoneticPr fontId="1"/>
  </si>
  <si>
    <t>キャベツ（生）</t>
    <rPh sb="5" eb="6">
      <t>ナマ</t>
    </rPh>
    <phoneticPr fontId="1"/>
  </si>
  <si>
    <t>キャベツ（ゆで）</t>
    <phoneticPr fontId="1"/>
  </si>
  <si>
    <t>キャラメル</t>
    <phoneticPr fontId="1"/>
  </si>
  <si>
    <t>牛さがり（焼き肉用）</t>
    <rPh sb="0" eb="1">
      <t>ギュウ</t>
    </rPh>
    <rPh sb="5" eb="6">
      <t>ヤ</t>
    </rPh>
    <rPh sb="7" eb="9">
      <t>ニクヨウ</t>
    </rPh>
    <phoneticPr fontId="1"/>
  </si>
  <si>
    <t>牛肉(舌)</t>
    <rPh sb="0" eb="2">
      <t>ギュウニク</t>
    </rPh>
    <rPh sb="3" eb="4">
      <t>シタ</t>
    </rPh>
    <phoneticPr fontId="1"/>
  </si>
  <si>
    <t>牛肉(小腸)</t>
    <rPh sb="0" eb="2">
      <t>ギュウニク</t>
    </rPh>
    <rPh sb="3" eb="5">
      <t>ショウチョウ</t>
    </rPh>
    <phoneticPr fontId="1"/>
  </si>
  <si>
    <t>牛肉(心)</t>
    <rPh sb="0" eb="2">
      <t>ギュウニク</t>
    </rPh>
    <rPh sb="3" eb="4">
      <t>シン</t>
    </rPh>
    <phoneticPr fontId="1"/>
  </si>
  <si>
    <t>牛肉（ばら・生）</t>
    <rPh sb="0" eb="1">
      <t>ギュウ</t>
    </rPh>
    <rPh sb="1" eb="2">
      <t>ニク</t>
    </rPh>
    <rPh sb="6" eb="7">
      <t>ナマ</t>
    </rPh>
    <phoneticPr fontId="1"/>
  </si>
  <si>
    <t>牛乳Ａ</t>
    <rPh sb="0" eb="2">
      <t>ギュウニュウ</t>
    </rPh>
    <phoneticPr fontId="1"/>
  </si>
  <si>
    <t>牛乳Ｂ</t>
    <rPh sb="0" eb="2">
      <t>ギュウニュウ</t>
    </rPh>
    <phoneticPr fontId="1"/>
  </si>
  <si>
    <t>牛乳寒天80/0.8</t>
    <rPh sb="0" eb="2">
      <t>ギュウニュウ</t>
    </rPh>
    <rPh sb="2" eb="4">
      <t>カンテン</t>
    </rPh>
    <phoneticPr fontId="1"/>
  </si>
  <si>
    <t>ぎゅうひ（和菓子）</t>
    <rPh sb="5" eb="8">
      <t>ワガシ</t>
    </rPh>
    <phoneticPr fontId="1"/>
  </si>
  <si>
    <t>牛ホルモン小腸</t>
    <rPh sb="0" eb="1">
      <t>ギュウ</t>
    </rPh>
    <rPh sb="5" eb="7">
      <t>ショウチョウ</t>
    </rPh>
    <phoneticPr fontId="1"/>
  </si>
  <si>
    <t>キュウリ</t>
    <phoneticPr fontId="1"/>
  </si>
  <si>
    <t>きゅうりの漬物（塩漬）</t>
    <rPh sb="5" eb="7">
      <t>ツケモノ</t>
    </rPh>
    <rPh sb="8" eb="9">
      <t>シオ</t>
    </rPh>
    <rPh sb="9" eb="10">
      <t>ヅ</t>
    </rPh>
    <phoneticPr fontId="1"/>
  </si>
  <si>
    <r>
      <t>きゅうりの漬物</t>
    </r>
    <r>
      <rPr>
        <b/>
        <sz val="6"/>
        <color theme="1"/>
        <rFont val="ＭＳ Ｐゴシック"/>
        <family val="3"/>
        <charset val="128"/>
        <scheme val="minor"/>
      </rPr>
      <t>（スイートピクルス）</t>
    </r>
    <rPh sb="5" eb="7">
      <t>ツケモノ</t>
    </rPh>
    <phoneticPr fontId="1"/>
  </si>
  <si>
    <t>きゅうりの漬物（ぬか漬）</t>
    <rPh sb="5" eb="7">
      <t>ツケモノ</t>
    </rPh>
    <rPh sb="10" eb="11">
      <t>ヅ</t>
    </rPh>
    <phoneticPr fontId="1"/>
  </si>
  <si>
    <t>牛レバー</t>
    <rPh sb="0" eb="1">
      <t>ギュウ</t>
    </rPh>
    <phoneticPr fontId="1"/>
  </si>
  <si>
    <t>牛レバー(焼き肉用)</t>
    <rPh sb="0" eb="1">
      <t>ギュウ</t>
    </rPh>
    <rPh sb="5" eb="6">
      <t>ヤ</t>
    </rPh>
    <rPh sb="7" eb="9">
      <t>ニクヨウ</t>
    </rPh>
    <phoneticPr fontId="1"/>
  </si>
  <si>
    <t>ぎょうざ213/0.67</t>
    <phoneticPr fontId="1"/>
  </si>
  <si>
    <t>清酒（大関）</t>
    <rPh sb="0" eb="1">
      <t>キヨ</t>
    </rPh>
    <rPh sb="1" eb="2">
      <t>サケ</t>
    </rPh>
    <rPh sb="3" eb="5">
      <t>オオゼキ</t>
    </rPh>
    <phoneticPr fontId="1"/>
  </si>
  <si>
    <t>巨峰の味(ゼリー)332</t>
    <rPh sb="0" eb="2">
      <t>キョホウ</t>
    </rPh>
    <rPh sb="3" eb="4">
      <t>アジ</t>
    </rPh>
    <phoneticPr fontId="1"/>
  </si>
  <si>
    <t>切干大根</t>
    <rPh sb="0" eb="2">
      <t>キリボシ</t>
    </rPh>
    <rPh sb="2" eb="4">
      <t>ダイコン</t>
    </rPh>
    <phoneticPr fontId="1"/>
  </si>
  <si>
    <t>きんかん</t>
    <phoneticPr fontId="1"/>
  </si>
  <si>
    <t>ギンザケ（養殖・生）</t>
    <rPh sb="5" eb="7">
      <t>ヨウショク</t>
    </rPh>
    <rPh sb="8" eb="9">
      <t>ナマ</t>
    </rPh>
    <phoneticPr fontId="1"/>
  </si>
  <si>
    <t>吟選醤油12/0.15</t>
    <rPh sb="0" eb="1">
      <t>ギン</t>
    </rPh>
    <rPh sb="1" eb="2">
      <t>セン</t>
    </rPh>
    <rPh sb="2" eb="4">
      <t>ショウユ</t>
    </rPh>
    <phoneticPr fontId="1"/>
  </si>
  <si>
    <t>巾着煮100</t>
    <rPh sb="0" eb="2">
      <t>キンチャク</t>
    </rPh>
    <rPh sb="2" eb="3">
      <t>ニ</t>
    </rPh>
    <phoneticPr fontId="1"/>
  </si>
  <si>
    <t>きんつば（菓子）</t>
    <rPh sb="5" eb="7">
      <t>カシ</t>
    </rPh>
    <phoneticPr fontId="1"/>
  </si>
  <si>
    <t>きんときまめ169</t>
    <phoneticPr fontId="1"/>
  </si>
  <si>
    <t>金時豆入食パン</t>
    <rPh sb="0" eb="2">
      <t>キントキ</t>
    </rPh>
    <rPh sb="2" eb="3">
      <t>マメ</t>
    </rPh>
    <rPh sb="3" eb="4">
      <t>イ</t>
    </rPh>
    <rPh sb="4" eb="5">
      <t>ショク</t>
    </rPh>
    <phoneticPr fontId="1"/>
  </si>
  <si>
    <t>草大福</t>
    <rPh sb="0" eb="1">
      <t>クサ</t>
    </rPh>
    <rPh sb="1" eb="3">
      <t>ダイフク</t>
    </rPh>
    <phoneticPr fontId="1"/>
  </si>
  <si>
    <t>草もち</t>
    <rPh sb="0" eb="1">
      <t>クサ</t>
    </rPh>
    <phoneticPr fontId="1"/>
  </si>
  <si>
    <t>串団子（あん）</t>
    <rPh sb="0" eb="1">
      <t>クシ</t>
    </rPh>
    <rPh sb="1" eb="3">
      <t>ダンゴ</t>
    </rPh>
    <phoneticPr fontId="1"/>
  </si>
  <si>
    <t>串団子（醤油）</t>
    <rPh sb="0" eb="1">
      <t>クシ</t>
    </rPh>
    <rPh sb="1" eb="3">
      <t>ダンゴ</t>
    </rPh>
    <rPh sb="4" eb="6">
      <t>ショウユ</t>
    </rPh>
    <phoneticPr fontId="1"/>
  </si>
  <si>
    <t>グズベリー</t>
    <phoneticPr fontId="1"/>
  </si>
  <si>
    <t>クッキー（フルタ）34/0.064</t>
    <phoneticPr fontId="1"/>
  </si>
  <si>
    <t>グラニュー糖387</t>
    <rPh sb="5" eb="6">
      <t>トウ</t>
    </rPh>
    <phoneticPr fontId="1"/>
  </si>
  <si>
    <t>栗（甘栗）222</t>
    <rPh sb="0" eb="1">
      <t>クリ</t>
    </rPh>
    <rPh sb="2" eb="4">
      <t>アマグリ</t>
    </rPh>
    <phoneticPr fontId="1"/>
  </si>
  <si>
    <t>栗ようかん780/3.00</t>
    <rPh sb="0" eb="1">
      <t>クリ</t>
    </rPh>
    <phoneticPr fontId="1"/>
  </si>
  <si>
    <t>クレープフルーツ</t>
    <phoneticPr fontId="1"/>
  </si>
  <si>
    <t>黒大豆</t>
    <rPh sb="0" eb="1">
      <t>クロ</t>
    </rPh>
    <rPh sb="1" eb="3">
      <t>ダイズ</t>
    </rPh>
    <phoneticPr fontId="1"/>
  </si>
  <si>
    <t>黒棒・菓子351</t>
    <rPh sb="0" eb="1">
      <t>クロ</t>
    </rPh>
    <rPh sb="1" eb="2">
      <t>ボウ</t>
    </rPh>
    <rPh sb="3" eb="5">
      <t>カシ</t>
    </rPh>
    <phoneticPr fontId="1"/>
  </si>
  <si>
    <t>黒豆（丹波）63/0.3</t>
    <rPh sb="0" eb="2">
      <t>クロマメ</t>
    </rPh>
    <rPh sb="3" eb="5">
      <t>タンバ</t>
    </rPh>
    <phoneticPr fontId="1"/>
  </si>
  <si>
    <t>黒豆197</t>
    <rPh sb="0" eb="2">
      <t>クロマメ</t>
    </rPh>
    <phoneticPr fontId="1"/>
  </si>
  <si>
    <t>黒豆200</t>
    <rPh sb="0" eb="2">
      <t>クロマメ</t>
    </rPh>
    <phoneticPr fontId="1"/>
  </si>
  <si>
    <t>ケーキドーナツ375</t>
    <phoneticPr fontId="1"/>
  </si>
  <si>
    <t>ケチャップ（カゴメトマト）</t>
    <phoneticPr fontId="1"/>
  </si>
  <si>
    <t>高野豆腐85/0.16</t>
    <rPh sb="0" eb="2">
      <t>コウヤ</t>
    </rPh>
    <rPh sb="2" eb="4">
      <t>トウフ</t>
    </rPh>
    <phoneticPr fontId="1"/>
  </si>
  <si>
    <t>コーヒー（インスタント）</t>
    <phoneticPr fontId="1"/>
  </si>
  <si>
    <r>
      <t>コーヒー</t>
    </r>
    <r>
      <rPr>
        <b/>
        <sz val="8"/>
        <color theme="1"/>
        <rFont val="ＭＳ Ｐゴシック"/>
        <family val="3"/>
        <charset val="128"/>
        <scheme val="minor"/>
      </rPr>
      <t>（フイットライフ）29/0.085</t>
    </r>
    <phoneticPr fontId="1"/>
  </si>
  <si>
    <t>コーンフレーク160/0.4</t>
    <phoneticPr fontId="1"/>
  </si>
  <si>
    <t>黒糖くるみ（菓子）540</t>
    <rPh sb="0" eb="2">
      <t>コクトウ</t>
    </rPh>
    <rPh sb="6" eb="8">
      <t>カシ</t>
    </rPh>
    <phoneticPr fontId="1"/>
  </si>
  <si>
    <t>こごみ</t>
    <phoneticPr fontId="1"/>
  </si>
  <si>
    <t>コショウ（黒）</t>
    <rPh sb="5" eb="6">
      <t>クロ</t>
    </rPh>
    <phoneticPr fontId="1"/>
  </si>
  <si>
    <t>コショウ（混合）</t>
    <rPh sb="5" eb="7">
      <t>コンゴウ</t>
    </rPh>
    <phoneticPr fontId="1"/>
  </si>
  <si>
    <t>コショウ（白）</t>
    <rPh sb="5" eb="6">
      <t>シロ</t>
    </rPh>
    <phoneticPr fontId="1"/>
  </si>
  <si>
    <t>ご飯</t>
    <rPh sb="1" eb="2">
      <t>ハン</t>
    </rPh>
    <phoneticPr fontId="1"/>
  </si>
  <si>
    <t>ごぼう（生）</t>
    <rPh sb="4" eb="5">
      <t>ナマ</t>
    </rPh>
    <phoneticPr fontId="1"/>
  </si>
  <si>
    <t>ごぼう（ゆで）</t>
    <phoneticPr fontId="1"/>
  </si>
  <si>
    <t>ごま油</t>
    <rPh sb="2" eb="3">
      <t>アブラ</t>
    </rPh>
    <phoneticPr fontId="1"/>
  </si>
  <si>
    <t>小松菜(生)</t>
    <rPh sb="0" eb="3">
      <t>コマツナ</t>
    </rPh>
    <rPh sb="4" eb="5">
      <t>ナマ</t>
    </rPh>
    <phoneticPr fontId="1"/>
  </si>
  <si>
    <t>小松菜(ゆで)</t>
    <rPh sb="0" eb="3">
      <t>コマツナ</t>
    </rPh>
    <phoneticPr fontId="1"/>
  </si>
  <si>
    <t>ごまとおじゃことひじき菓子</t>
    <rPh sb="11" eb="13">
      <t>カシ</t>
    </rPh>
    <phoneticPr fontId="1"/>
  </si>
  <si>
    <t>ゴマ油126/0.14</t>
    <rPh sb="2" eb="3">
      <t>ユ</t>
    </rPh>
    <phoneticPr fontId="1"/>
  </si>
  <si>
    <t>小麦粉（強力粉）367</t>
    <rPh sb="0" eb="3">
      <t>コムギコ</t>
    </rPh>
    <rPh sb="4" eb="6">
      <t>キョウリョク</t>
    </rPh>
    <rPh sb="6" eb="7">
      <t>コ</t>
    </rPh>
    <phoneticPr fontId="1"/>
  </si>
  <si>
    <t>小麦粉（中力粉）369</t>
    <rPh sb="0" eb="3">
      <t>コムギコ</t>
    </rPh>
    <rPh sb="4" eb="5">
      <t>チュウ</t>
    </rPh>
    <rPh sb="5" eb="6">
      <t>リキ</t>
    </rPh>
    <rPh sb="6" eb="7">
      <t>コ</t>
    </rPh>
    <phoneticPr fontId="1"/>
  </si>
  <si>
    <t>小麦粉（薄力粉）369</t>
    <rPh sb="0" eb="3">
      <t>コムギコ</t>
    </rPh>
    <rPh sb="4" eb="7">
      <t>ハクリキコ</t>
    </rPh>
    <phoneticPr fontId="1"/>
  </si>
  <si>
    <t>米こうじ572/2</t>
    <rPh sb="0" eb="1">
      <t>コメ</t>
    </rPh>
    <phoneticPr fontId="1"/>
  </si>
  <si>
    <t>米酢</t>
    <rPh sb="0" eb="2">
      <t>コメズ</t>
    </rPh>
    <phoneticPr fontId="1"/>
  </si>
  <si>
    <t>コロッケ</t>
    <phoneticPr fontId="1"/>
  </si>
  <si>
    <t>こんにゃく(青)</t>
    <rPh sb="6" eb="7">
      <t>アオ</t>
    </rPh>
    <phoneticPr fontId="1"/>
  </si>
  <si>
    <t>こんにゃく(白)</t>
    <rPh sb="6" eb="7">
      <t>シロ</t>
    </rPh>
    <phoneticPr fontId="1"/>
  </si>
  <si>
    <t>昆布（刻み昆布）</t>
    <rPh sb="0" eb="2">
      <t>コンブ</t>
    </rPh>
    <rPh sb="3" eb="4">
      <t>キザ</t>
    </rPh>
    <rPh sb="5" eb="7">
      <t>コンブ</t>
    </rPh>
    <phoneticPr fontId="1"/>
  </si>
  <si>
    <t>昆布（長昆布・素干し）</t>
    <rPh sb="0" eb="2">
      <t>コンブ</t>
    </rPh>
    <rPh sb="3" eb="4">
      <t>ナガ</t>
    </rPh>
    <rPh sb="4" eb="6">
      <t>コンブ</t>
    </rPh>
    <rPh sb="7" eb="8">
      <t>ス</t>
    </rPh>
    <rPh sb="8" eb="9">
      <t>ボ</t>
    </rPh>
    <phoneticPr fontId="1"/>
  </si>
  <si>
    <t>昆布(根昆布・素干し)</t>
    <rPh sb="0" eb="2">
      <t>コンブ</t>
    </rPh>
    <rPh sb="3" eb="4">
      <t>ネ</t>
    </rPh>
    <rPh sb="4" eb="6">
      <t>コンブ</t>
    </rPh>
    <rPh sb="7" eb="8">
      <t>ス</t>
    </rPh>
    <rPh sb="8" eb="9">
      <t>ボ</t>
    </rPh>
    <phoneticPr fontId="1"/>
  </si>
  <si>
    <r>
      <t>昆布</t>
    </r>
    <r>
      <rPr>
        <b/>
        <sz val="9"/>
        <color theme="1"/>
        <rFont val="ＭＳ Ｐゴシック"/>
        <family val="3"/>
        <charset val="128"/>
        <scheme val="minor"/>
      </rPr>
      <t>(日高・だし昆布)</t>
    </r>
    <r>
      <rPr>
        <sz val="11"/>
        <color theme="1"/>
        <rFont val="ＭＳ Ｐゴシック"/>
        <family val="3"/>
        <charset val="128"/>
        <scheme val="minor"/>
      </rPr>
      <t>153</t>
    </r>
    <rPh sb="0" eb="2">
      <t>コンブ</t>
    </rPh>
    <rPh sb="3" eb="5">
      <t>ヒダカ</t>
    </rPh>
    <rPh sb="8" eb="10">
      <t>コンブ</t>
    </rPh>
    <phoneticPr fontId="1"/>
  </si>
  <si>
    <t>昆布つゆ129</t>
    <rPh sb="0" eb="2">
      <t>コンブ</t>
    </rPh>
    <phoneticPr fontId="1"/>
  </si>
  <si>
    <t>昆布まき（ニシン）75/0.8</t>
    <rPh sb="0" eb="2">
      <t>コンブ</t>
    </rPh>
    <phoneticPr fontId="1"/>
  </si>
  <si>
    <t>こんぶ豆55/0.3</t>
    <rPh sb="3" eb="4">
      <t>マメ</t>
    </rPh>
    <phoneticPr fontId="1"/>
  </si>
  <si>
    <t>再仕込み醤油</t>
    <rPh sb="0" eb="1">
      <t>サイ</t>
    </rPh>
    <rPh sb="1" eb="3">
      <t>シコ</t>
    </rPh>
    <rPh sb="4" eb="6">
      <t>ショウユ</t>
    </rPh>
    <phoneticPr fontId="1"/>
  </si>
  <si>
    <t>さくらエビ(素干)</t>
    <rPh sb="6" eb="7">
      <t>ス</t>
    </rPh>
    <rPh sb="7" eb="8">
      <t>ボ</t>
    </rPh>
    <phoneticPr fontId="1"/>
  </si>
  <si>
    <t>さくらエビ素干し62/0.2</t>
    <rPh sb="5" eb="6">
      <t>ス</t>
    </rPh>
    <rPh sb="6" eb="7">
      <t>ボ</t>
    </rPh>
    <phoneticPr fontId="1"/>
  </si>
  <si>
    <t>桜もち（関西風）200</t>
    <rPh sb="0" eb="1">
      <t>サクラ</t>
    </rPh>
    <rPh sb="4" eb="6">
      <t>カンサイ</t>
    </rPh>
    <rPh sb="6" eb="7">
      <t>フウ</t>
    </rPh>
    <phoneticPr fontId="1"/>
  </si>
  <si>
    <t>桜もち（関東風）238</t>
    <rPh sb="0" eb="1">
      <t>サクラ</t>
    </rPh>
    <rPh sb="4" eb="5">
      <t>カン</t>
    </rPh>
    <rPh sb="5" eb="6">
      <t>トウ</t>
    </rPh>
    <rPh sb="6" eb="7">
      <t>フウ</t>
    </rPh>
    <phoneticPr fontId="1"/>
  </si>
  <si>
    <t>さくらんぼ</t>
    <phoneticPr fontId="1"/>
  </si>
  <si>
    <t>サケ（樺太鱒）生</t>
    <rPh sb="3" eb="5">
      <t>カラフト</t>
    </rPh>
    <rPh sb="5" eb="6">
      <t>マス</t>
    </rPh>
    <rPh sb="7" eb="8">
      <t>ナマ</t>
    </rPh>
    <phoneticPr fontId="1"/>
  </si>
  <si>
    <t>サケ（樺太鱒）焼</t>
    <rPh sb="3" eb="5">
      <t>カラフト</t>
    </rPh>
    <rPh sb="5" eb="6">
      <t>マス</t>
    </rPh>
    <rPh sb="7" eb="8">
      <t>ヤ</t>
    </rPh>
    <phoneticPr fontId="1"/>
  </si>
  <si>
    <t>サケ（ギンザケ）生</t>
    <rPh sb="8" eb="9">
      <t>ナマ</t>
    </rPh>
    <phoneticPr fontId="1"/>
  </si>
  <si>
    <t>サケ（ギンザケ）焼</t>
    <rPh sb="8" eb="9">
      <t>ヤ</t>
    </rPh>
    <phoneticPr fontId="1"/>
  </si>
  <si>
    <r>
      <t>サケ</t>
    </r>
    <r>
      <rPr>
        <b/>
        <sz val="8"/>
        <color theme="1"/>
        <rFont val="ＭＳ Ｐゴシック"/>
        <family val="3"/>
        <charset val="128"/>
        <scheme val="minor"/>
      </rPr>
      <t>（サーモントラウト）</t>
    </r>
    <r>
      <rPr>
        <sz val="11"/>
        <color theme="1"/>
        <rFont val="ＭＳ Ｐゴシック"/>
        <family val="3"/>
        <charset val="128"/>
        <scheme val="minor"/>
      </rPr>
      <t>生</t>
    </r>
    <rPh sb="12" eb="13">
      <t>ナマ</t>
    </rPh>
    <phoneticPr fontId="1"/>
  </si>
  <si>
    <r>
      <t>サケ</t>
    </r>
    <r>
      <rPr>
        <b/>
        <sz val="9"/>
        <color theme="1"/>
        <rFont val="ＭＳ Ｐゴシック"/>
        <family val="3"/>
        <charset val="128"/>
        <scheme val="minor"/>
      </rPr>
      <t>（しろさけ・新巻・生）</t>
    </r>
    <rPh sb="8" eb="10">
      <t>アラマキ</t>
    </rPh>
    <rPh sb="11" eb="12">
      <t>ナマ</t>
    </rPh>
    <phoneticPr fontId="1"/>
  </si>
  <si>
    <r>
      <t>サケ</t>
    </r>
    <r>
      <rPr>
        <b/>
        <sz val="9"/>
        <color theme="1"/>
        <rFont val="ＭＳ Ｐゴシック"/>
        <family val="3"/>
        <charset val="128"/>
        <scheme val="minor"/>
      </rPr>
      <t>（しろさけ・新巻・焼き）</t>
    </r>
    <rPh sb="8" eb="10">
      <t>アラマキ</t>
    </rPh>
    <rPh sb="11" eb="12">
      <t>ヤ</t>
    </rPh>
    <phoneticPr fontId="1"/>
  </si>
  <si>
    <t>サケ（しろさけ生）</t>
    <rPh sb="7" eb="8">
      <t>ナマ</t>
    </rPh>
    <phoneticPr fontId="1"/>
  </si>
  <si>
    <t>サケ（しろさけ焼き）</t>
    <rPh sb="7" eb="8">
      <t>ヤ</t>
    </rPh>
    <phoneticPr fontId="1"/>
  </si>
  <si>
    <t>酒（清酒）109</t>
    <rPh sb="0" eb="1">
      <t>サケ</t>
    </rPh>
    <rPh sb="2" eb="4">
      <t>セイシュ</t>
    </rPh>
    <phoneticPr fontId="1"/>
  </si>
  <si>
    <t>酒（清酒）94</t>
    <rPh sb="0" eb="1">
      <t>サケ</t>
    </rPh>
    <rPh sb="2" eb="4">
      <t>セイシュ</t>
    </rPh>
    <phoneticPr fontId="1"/>
  </si>
  <si>
    <t>サケ（ベニザケ生）</t>
    <rPh sb="7" eb="8">
      <t>ナマ</t>
    </rPh>
    <phoneticPr fontId="1"/>
  </si>
  <si>
    <t>サケ（ベニザケ焼）</t>
    <rPh sb="7" eb="8">
      <t>ヤ</t>
    </rPh>
    <phoneticPr fontId="1"/>
  </si>
  <si>
    <t>酒粕227</t>
    <rPh sb="0" eb="2">
      <t>サケカス</t>
    </rPh>
    <phoneticPr fontId="1"/>
  </si>
  <si>
    <t>鮭筍味付129/0.9</t>
    <rPh sb="0" eb="1">
      <t>サケ</t>
    </rPh>
    <rPh sb="1" eb="2">
      <t>タケノコ</t>
    </rPh>
    <rPh sb="2" eb="4">
      <t>アジツケ</t>
    </rPh>
    <phoneticPr fontId="1"/>
  </si>
  <si>
    <t>ささげ（さや付）生</t>
    <rPh sb="6" eb="7">
      <t>ツキ</t>
    </rPh>
    <rPh sb="8" eb="9">
      <t>ナマ</t>
    </rPh>
    <phoneticPr fontId="1"/>
  </si>
  <si>
    <t>さつま揚げ33/0.26</t>
    <rPh sb="3" eb="4">
      <t>ア</t>
    </rPh>
    <phoneticPr fontId="1"/>
  </si>
  <si>
    <t>さつま揚げ476/2.5</t>
    <rPh sb="3" eb="4">
      <t>ア</t>
    </rPh>
    <phoneticPr fontId="1"/>
  </si>
  <si>
    <t>さつまいも（生）</t>
    <rPh sb="6" eb="7">
      <t>ナマ</t>
    </rPh>
    <phoneticPr fontId="1"/>
  </si>
  <si>
    <t>さつまいも（蒸し）</t>
    <rPh sb="6" eb="7">
      <t>ム</t>
    </rPh>
    <phoneticPr fontId="1"/>
  </si>
  <si>
    <t>さつまいも（蒸し切干）</t>
    <rPh sb="6" eb="7">
      <t>ム</t>
    </rPh>
    <rPh sb="8" eb="9">
      <t>キリ</t>
    </rPh>
    <rPh sb="9" eb="10">
      <t>ホ</t>
    </rPh>
    <phoneticPr fontId="1"/>
  </si>
  <si>
    <t>さつまいも（焼き）</t>
    <rPh sb="6" eb="7">
      <t>ヤ</t>
    </rPh>
    <phoneticPr fontId="1"/>
  </si>
  <si>
    <t>さつまいも甘煮170</t>
    <rPh sb="5" eb="6">
      <t>アマ</t>
    </rPh>
    <rPh sb="6" eb="7">
      <t>ニ</t>
    </rPh>
    <phoneticPr fontId="1"/>
  </si>
  <si>
    <t>さといも（生）</t>
    <rPh sb="5" eb="6">
      <t>ナマ</t>
    </rPh>
    <phoneticPr fontId="1"/>
  </si>
  <si>
    <t>さといも（ゆで）</t>
    <phoneticPr fontId="1"/>
  </si>
  <si>
    <t>砂糖</t>
    <rPh sb="0" eb="2">
      <t>サトウ</t>
    </rPh>
    <phoneticPr fontId="1"/>
  </si>
  <si>
    <t>砂糖(上白糖・一般)</t>
    <rPh sb="0" eb="2">
      <t>サトウ</t>
    </rPh>
    <rPh sb="3" eb="6">
      <t>ジョウハクトウ</t>
    </rPh>
    <rPh sb="7" eb="9">
      <t>イッパン</t>
    </rPh>
    <phoneticPr fontId="1"/>
  </si>
  <si>
    <r>
      <t>砂糖（ヨーグルト用）</t>
    </r>
    <r>
      <rPr>
        <sz val="6"/>
        <color theme="1"/>
        <rFont val="ＭＳ Ｐゴシック"/>
        <family val="3"/>
        <charset val="128"/>
        <scheme val="minor"/>
      </rPr>
      <t>32/0.08</t>
    </r>
    <rPh sb="0" eb="2">
      <t>サトウ</t>
    </rPh>
    <rPh sb="8" eb="9">
      <t>ヨウ</t>
    </rPh>
    <phoneticPr fontId="1"/>
  </si>
  <si>
    <t>砂糖31.6/0.08</t>
    <rPh sb="0" eb="2">
      <t>サトウ</t>
    </rPh>
    <phoneticPr fontId="1"/>
  </si>
  <si>
    <t>さとう387</t>
    <phoneticPr fontId="1"/>
  </si>
  <si>
    <t>サニーレタス</t>
    <phoneticPr fontId="1"/>
  </si>
  <si>
    <t>讃岐うどん半生257/2</t>
    <rPh sb="0" eb="2">
      <t>サヌキ</t>
    </rPh>
    <rPh sb="5" eb="7">
      <t>ハンナマ</t>
    </rPh>
    <phoneticPr fontId="1"/>
  </si>
  <si>
    <t>讃岐太うどん・乾337</t>
    <rPh sb="0" eb="2">
      <t>サヌキ</t>
    </rPh>
    <rPh sb="2" eb="3">
      <t>フト</t>
    </rPh>
    <rPh sb="7" eb="8">
      <t>カン</t>
    </rPh>
    <phoneticPr fontId="1"/>
  </si>
  <si>
    <t>さば(まさば)生</t>
    <rPh sb="7" eb="8">
      <t>ナマ</t>
    </rPh>
    <phoneticPr fontId="1"/>
  </si>
  <si>
    <t>さば(まさば)焼き</t>
    <rPh sb="7" eb="8">
      <t>ヤ</t>
    </rPh>
    <phoneticPr fontId="1"/>
  </si>
  <si>
    <t>さば水煮（缶詰）219/1.9</t>
    <rPh sb="2" eb="4">
      <t>ミズニ</t>
    </rPh>
    <rPh sb="5" eb="6">
      <t>カン</t>
    </rPh>
    <rPh sb="6" eb="7">
      <t>ツ</t>
    </rPh>
    <phoneticPr fontId="1"/>
  </si>
  <si>
    <t>さば水煮（缶詰）204</t>
    <rPh sb="2" eb="4">
      <t>ミズニ</t>
    </rPh>
    <rPh sb="5" eb="7">
      <t>カンヅメ</t>
    </rPh>
    <phoneticPr fontId="1"/>
  </si>
  <si>
    <t>さば水煮219/1.9</t>
    <rPh sb="2" eb="4">
      <t>ミズニ</t>
    </rPh>
    <phoneticPr fontId="1"/>
  </si>
  <si>
    <t>さば味噌煮（パック入り）150/0.8</t>
    <rPh sb="2" eb="5">
      <t>ミソニ</t>
    </rPh>
    <rPh sb="9" eb="10">
      <t>イ</t>
    </rPh>
    <phoneticPr fontId="1"/>
  </si>
  <si>
    <t>さば味噌煮220/1.08</t>
    <rPh sb="2" eb="5">
      <t>ミソニ</t>
    </rPh>
    <phoneticPr fontId="1"/>
  </si>
  <si>
    <t>さば味噌煮289</t>
    <rPh sb="2" eb="5">
      <t>ミソニ</t>
    </rPh>
    <phoneticPr fontId="1"/>
  </si>
  <si>
    <t>さやいんげん（生）</t>
    <rPh sb="7" eb="8">
      <t>ナマ</t>
    </rPh>
    <phoneticPr fontId="1"/>
  </si>
  <si>
    <t>さやいんげん（ゆで）</t>
    <phoneticPr fontId="1"/>
  </si>
  <si>
    <t>さやえんどう（生）</t>
    <rPh sb="7" eb="8">
      <t>ナマ</t>
    </rPh>
    <phoneticPr fontId="1"/>
  </si>
  <si>
    <t>更科ごまそば279</t>
    <rPh sb="0" eb="2">
      <t>サラシナ</t>
    </rPh>
    <phoneticPr fontId="1"/>
  </si>
  <si>
    <t>サラダ菜</t>
    <rPh sb="3" eb="4">
      <t>ナ</t>
    </rPh>
    <phoneticPr fontId="1"/>
  </si>
  <si>
    <t>サラダ油</t>
    <rPh sb="3" eb="4">
      <t>ユ</t>
    </rPh>
    <phoneticPr fontId="1"/>
  </si>
  <si>
    <r>
      <t>ざるそば(外食</t>
    </r>
    <r>
      <rPr>
        <sz val="8"/>
        <color theme="1"/>
        <rFont val="ＭＳ Ｐゴシック"/>
        <family val="3"/>
        <charset val="128"/>
        <scheme val="minor"/>
      </rPr>
      <t>・一般的</t>
    </r>
    <r>
      <rPr>
        <sz val="11"/>
        <color theme="1"/>
        <rFont val="ＭＳ Ｐゴシック"/>
        <family val="3"/>
        <charset val="128"/>
        <scheme val="minor"/>
      </rPr>
      <t>)</t>
    </r>
    <r>
      <rPr>
        <b/>
        <sz val="9"/>
        <color theme="1"/>
        <rFont val="ＭＳ Ｐゴシック"/>
        <family val="3"/>
        <charset val="128"/>
        <scheme val="minor"/>
      </rPr>
      <t>275/3.06</t>
    </r>
    <rPh sb="5" eb="7">
      <t>ガイショク</t>
    </rPh>
    <rPh sb="8" eb="11">
      <t>イッパンテキ</t>
    </rPh>
    <phoneticPr fontId="1"/>
  </si>
  <si>
    <t>ざるそば(ヤマサ)汁43</t>
    <rPh sb="9" eb="10">
      <t>ツユ</t>
    </rPh>
    <phoneticPr fontId="1"/>
  </si>
  <si>
    <t>ざるそば・つけ汁129/3</t>
    <rPh sb="7" eb="8">
      <t>ジル</t>
    </rPh>
    <phoneticPr fontId="1"/>
  </si>
  <si>
    <t>ざるそばつけ汁44</t>
    <rPh sb="6" eb="7">
      <t>シル</t>
    </rPh>
    <phoneticPr fontId="1"/>
  </si>
  <si>
    <r>
      <t>サンチェ(</t>
    </r>
    <r>
      <rPr>
        <b/>
        <sz val="8"/>
        <color theme="1"/>
        <rFont val="ＭＳ Ｐゴシック"/>
        <family val="3"/>
        <charset val="128"/>
        <scheme val="minor"/>
      </rPr>
      <t>サニーレタス</t>
    </r>
    <r>
      <rPr>
        <b/>
        <sz val="6"/>
        <color theme="1"/>
        <rFont val="ＭＳ Ｐゴシック"/>
        <family val="3"/>
        <charset val="128"/>
        <scheme val="minor"/>
      </rPr>
      <t>と同じ</t>
    </r>
    <r>
      <rPr>
        <sz val="11"/>
        <color theme="1"/>
        <rFont val="ＭＳ Ｐゴシック"/>
        <family val="3"/>
        <charset val="128"/>
        <scheme val="minor"/>
      </rPr>
      <t>)</t>
    </r>
    <rPh sb="12" eb="13">
      <t>オナ</t>
    </rPh>
    <phoneticPr fontId="1"/>
  </si>
  <si>
    <t>さんま（生）</t>
    <rPh sb="4" eb="5">
      <t>ナマ</t>
    </rPh>
    <phoneticPr fontId="1"/>
  </si>
  <si>
    <t>さんま（焼き）</t>
    <rPh sb="4" eb="5">
      <t>ヤ</t>
    </rPh>
    <phoneticPr fontId="1"/>
  </si>
  <si>
    <t>さんま蒲焼缶詰245</t>
    <rPh sb="3" eb="5">
      <t>カバヤキ</t>
    </rPh>
    <rPh sb="5" eb="7">
      <t>カンヅメ</t>
    </rPh>
    <phoneticPr fontId="1"/>
  </si>
  <si>
    <t>しいたけ（乾）</t>
    <rPh sb="5" eb="6">
      <t>カン</t>
    </rPh>
    <phoneticPr fontId="1"/>
  </si>
  <si>
    <t>しいたけ（乾・ゆで）</t>
    <rPh sb="5" eb="6">
      <t>カン</t>
    </rPh>
    <phoneticPr fontId="1"/>
  </si>
  <si>
    <t>しいたけ（生）</t>
    <rPh sb="5" eb="6">
      <t>ナマ</t>
    </rPh>
    <phoneticPr fontId="1"/>
  </si>
  <si>
    <t>しいたけ（生・ゆで）</t>
    <rPh sb="5" eb="6">
      <t>ナマ</t>
    </rPh>
    <phoneticPr fontId="1"/>
  </si>
  <si>
    <r>
      <t>シーチキン・マイルルド</t>
    </r>
    <r>
      <rPr>
        <b/>
        <sz val="8"/>
        <color theme="1"/>
        <rFont val="ＭＳ Ｐゴシック"/>
        <family val="3"/>
        <charset val="128"/>
        <scheme val="minor"/>
      </rPr>
      <t>210/0.7</t>
    </r>
    <phoneticPr fontId="1"/>
  </si>
  <si>
    <t>塩こんぶ129/0.6</t>
    <rPh sb="0" eb="1">
      <t>シオ</t>
    </rPh>
    <phoneticPr fontId="1"/>
  </si>
  <si>
    <t>塩サバ</t>
    <rPh sb="0" eb="1">
      <t>シオ</t>
    </rPh>
    <phoneticPr fontId="1"/>
  </si>
  <si>
    <t>しじみ(生)</t>
    <rPh sb="4" eb="5">
      <t>ナマ</t>
    </rPh>
    <phoneticPr fontId="1"/>
  </si>
  <si>
    <t>シシャモ（半干・生）</t>
    <rPh sb="5" eb="6">
      <t>ハン</t>
    </rPh>
    <rPh sb="6" eb="7">
      <t>ボ</t>
    </rPh>
    <rPh sb="8" eb="9">
      <t>ナマ</t>
    </rPh>
    <phoneticPr fontId="1"/>
  </si>
  <si>
    <t>シシャモ（半干・焼）</t>
    <rPh sb="5" eb="6">
      <t>ハン</t>
    </rPh>
    <rPh sb="6" eb="7">
      <t>ボ</t>
    </rPh>
    <rPh sb="8" eb="9">
      <t>ヤ</t>
    </rPh>
    <phoneticPr fontId="1"/>
  </si>
  <si>
    <t>しそ（葉・生）</t>
    <rPh sb="3" eb="4">
      <t>ハ</t>
    </rPh>
    <rPh sb="5" eb="6">
      <t>ナマ</t>
    </rPh>
    <phoneticPr fontId="1"/>
  </si>
  <si>
    <t>シナチク</t>
    <phoneticPr fontId="1"/>
  </si>
  <si>
    <t>シナモン（粉）</t>
    <rPh sb="5" eb="6">
      <t>コナ</t>
    </rPh>
    <phoneticPr fontId="1"/>
  </si>
  <si>
    <t>しみ豆腐88/0.165</t>
    <rPh sb="2" eb="4">
      <t>ドウフ</t>
    </rPh>
    <phoneticPr fontId="1"/>
  </si>
  <si>
    <t>しめさば</t>
    <phoneticPr fontId="1"/>
  </si>
  <si>
    <t>じゃが芋・生</t>
    <rPh sb="3" eb="4">
      <t>イモ</t>
    </rPh>
    <rPh sb="5" eb="6">
      <t>ナマ</t>
    </rPh>
    <phoneticPr fontId="1"/>
  </si>
  <si>
    <t>じゃが芋・茹</t>
    <rPh sb="3" eb="4">
      <t>イモ</t>
    </rPh>
    <rPh sb="5" eb="6">
      <t>ユ</t>
    </rPh>
    <phoneticPr fontId="1"/>
  </si>
  <si>
    <t>ジャンボコーン393</t>
    <phoneticPr fontId="1"/>
  </si>
  <si>
    <t>シュークリーム</t>
    <phoneticPr fontId="1"/>
  </si>
  <si>
    <t>しゅうまい（冷凍）</t>
    <rPh sb="6" eb="8">
      <t>レイトウ</t>
    </rPh>
    <phoneticPr fontId="1"/>
  </si>
  <si>
    <t>ショウガ（根茎）生</t>
    <rPh sb="5" eb="6">
      <t>ネ</t>
    </rPh>
    <rPh sb="6" eb="7">
      <t>クキ</t>
    </rPh>
    <rPh sb="8" eb="9">
      <t>ナマ</t>
    </rPh>
    <phoneticPr fontId="1"/>
  </si>
  <si>
    <t>上白糖</t>
    <rPh sb="0" eb="3">
      <t>ジョウハクトウ</t>
    </rPh>
    <phoneticPr fontId="1"/>
  </si>
  <si>
    <t>醤油</t>
    <rPh sb="0" eb="2">
      <t>ショウユ</t>
    </rPh>
    <phoneticPr fontId="1"/>
  </si>
  <si>
    <r>
      <t>醤油</t>
    </r>
    <r>
      <rPr>
        <b/>
        <sz val="9"/>
        <color theme="1"/>
        <rFont val="ＭＳ Ｐゴシック"/>
        <family val="3"/>
        <charset val="128"/>
        <scheme val="minor"/>
      </rPr>
      <t>（生・キッコウマン）15/0.15</t>
    </r>
    <rPh sb="0" eb="2">
      <t>ショウユ</t>
    </rPh>
    <rPh sb="3" eb="4">
      <t>ナマ</t>
    </rPh>
    <phoneticPr fontId="1"/>
  </si>
  <si>
    <t>醤油（ヤマサ濃口）125/0.15</t>
    <rPh sb="0" eb="2">
      <t>ショウユ</t>
    </rPh>
    <rPh sb="6" eb="7">
      <t>コ</t>
    </rPh>
    <rPh sb="7" eb="8">
      <t>クチ</t>
    </rPh>
    <phoneticPr fontId="1"/>
  </si>
  <si>
    <t>ショートケーキ308</t>
    <phoneticPr fontId="1"/>
  </si>
  <si>
    <t>食塩</t>
    <rPh sb="0" eb="2">
      <t>ショクエン</t>
    </rPh>
    <phoneticPr fontId="1"/>
  </si>
  <si>
    <t>食パン264</t>
    <rPh sb="0" eb="1">
      <t>ショク</t>
    </rPh>
    <phoneticPr fontId="1"/>
  </si>
  <si>
    <t>しらたき</t>
    <phoneticPr fontId="1"/>
  </si>
  <si>
    <t>しらたき5</t>
    <phoneticPr fontId="1"/>
  </si>
  <si>
    <t>白玉粉</t>
    <rPh sb="0" eb="3">
      <t>シラタマコ</t>
    </rPh>
    <phoneticPr fontId="1"/>
  </si>
  <si>
    <t>白身魚（たら）フライ148</t>
    <rPh sb="0" eb="2">
      <t>シロミ</t>
    </rPh>
    <rPh sb="2" eb="3">
      <t>サカナ</t>
    </rPh>
    <phoneticPr fontId="1"/>
  </si>
  <si>
    <r>
      <t>ジンギスカン</t>
    </r>
    <r>
      <rPr>
        <b/>
        <sz val="6"/>
        <color theme="1"/>
        <rFont val="ＭＳ Ｐゴシック"/>
        <family val="3"/>
        <charset val="128"/>
        <scheme val="minor"/>
      </rPr>
      <t>(一般的)</t>
    </r>
    <r>
      <rPr>
        <sz val="11"/>
        <color theme="1"/>
        <rFont val="ＭＳ Ｐゴシック"/>
        <family val="3"/>
        <charset val="128"/>
        <scheme val="minor"/>
      </rPr>
      <t>416/3.65</t>
    </r>
    <rPh sb="7" eb="9">
      <t>イッパン</t>
    </rPh>
    <rPh sb="9" eb="10">
      <t>テキ</t>
    </rPh>
    <phoneticPr fontId="1"/>
  </si>
  <si>
    <r>
      <t>酢（穀物酢）</t>
    </r>
    <r>
      <rPr>
        <sz val="6"/>
        <color theme="1"/>
        <rFont val="ＭＳ Ｐゴシック"/>
        <family val="3"/>
        <charset val="128"/>
        <scheme val="minor"/>
      </rPr>
      <t>ミツカン3.8/0.15</t>
    </r>
    <rPh sb="0" eb="1">
      <t>ス</t>
    </rPh>
    <rPh sb="2" eb="4">
      <t>コクモツ</t>
    </rPh>
    <rPh sb="4" eb="5">
      <t>ス</t>
    </rPh>
    <phoneticPr fontId="1"/>
  </si>
  <si>
    <t>酢（ミツカン酢）3.8/0.15</t>
    <rPh sb="0" eb="1">
      <t>ス</t>
    </rPh>
    <rPh sb="6" eb="7">
      <t>ス</t>
    </rPh>
    <phoneticPr fontId="1"/>
  </si>
  <si>
    <t>スイカ</t>
    <phoneticPr fontId="1"/>
  </si>
  <si>
    <t>スープの素(かぼちゃ)84</t>
    <rPh sb="4" eb="5">
      <t>モト</t>
    </rPh>
    <phoneticPr fontId="1"/>
  </si>
  <si>
    <t>スープの素(コーン)117.6</t>
    <rPh sb="4" eb="5">
      <t>モト</t>
    </rPh>
    <phoneticPr fontId="1"/>
  </si>
  <si>
    <t>すし飯(推定)</t>
    <rPh sb="2" eb="3">
      <t>メシ</t>
    </rPh>
    <rPh sb="4" eb="6">
      <t>スイテイ</t>
    </rPh>
    <phoneticPr fontId="1"/>
  </si>
  <si>
    <t>すし飯161</t>
    <rPh sb="2" eb="3">
      <t>メシ</t>
    </rPh>
    <phoneticPr fontId="1"/>
  </si>
  <si>
    <t>すし飯258/1.6</t>
    <rPh sb="2" eb="3">
      <t>メシ</t>
    </rPh>
    <phoneticPr fontId="1"/>
  </si>
  <si>
    <t>スナック・ポテト354/0.7　</t>
    <phoneticPr fontId="1"/>
  </si>
  <si>
    <t>酢の物（中華風）22/0.26</t>
    <rPh sb="0" eb="3">
      <t>スノモノ</t>
    </rPh>
    <rPh sb="4" eb="7">
      <t>チュウカフウ</t>
    </rPh>
    <phoneticPr fontId="1"/>
  </si>
  <si>
    <t>スパゲティ(ナポリタン)590/3.511</t>
    <phoneticPr fontId="1"/>
  </si>
  <si>
    <t>スパゲティミートソース614/3.937</t>
    <phoneticPr fontId="1"/>
  </si>
  <si>
    <t>すもも(日本すもも)</t>
    <rPh sb="4" eb="6">
      <t>ニホン</t>
    </rPh>
    <phoneticPr fontId="1"/>
  </si>
  <si>
    <t>すりごま（白）33/0.05</t>
    <rPh sb="5" eb="6">
      <t>シロ</t>
    </rPh>
    <phoneticPr fontId="1"/>
  </si>
  <si>
    <t>ずわいがに（生）</t>
    <rPh sb="6" eb="7">
      <t>ナマ</t>
    </rPh>
    <phoneticPr fontId="1"/>
  </si>
  <si>
    <t>ずわいがに（ゆで）</t>
    <phoneticPr fontId="1"/>
  </si>
  <si>
    <t>精白米</t>
    <rPh sb="0" eb="3">
      <t>セイハクマイ</t>
    </rPh>
    <phoneticPr fontId="1"/>
  </si>
  <si>
    <t>赤飯189</t>
    <rPh sb="0" eb="2">
      <t>セキハン</t>
    </rPh>
    <phoneticPr fontId="1"/>
  </si>
  <si>
    <t>ゼラチン(一般)</t>
    <rPh sb="5" eb="7">
      <t>イッパン</t>
    </rPh>
    <phoneticPr fontId="1"/>
  </si>
  <si>
    <t>ゼラチン18/0.05</t>
    <phoneticPr fontId="1"/>
  </si>
  <si>
    <t>セロリー</t>
    <phoneticPr fontId="1"/>
  </si>
  <si>
    <t>煎餅（まめごろう）149/0.26</t>
    <rPh sb="0" eb="2">
      <t>センベイ</t>
    </rPh>
    <phoneticPr fontId="1"/>
  </si>
  <si>
    <t>せんべい・焼菓子（ゴマ入）</t>
    <rPh sb="5" eb="6">
      <t>ヤ</t>
    </rPh>
    <rPh sb="6" eb="8">
      <t>ガシ</t>
    </rPh>
    <rPh sb="11" eb="12">
      <t>イリ</t>
    </rPh>
    <phoneticPr fontId="1"/>
  </si>
  <si>
    <t>せんべい・焼菓子（ピーナツ入）</t>
    <rPh sb="5" eb="6">
      <t>ヤ</t>
    </rPh>
    <rPh sb="6" eb="8">
      <t>ガシ</t>
    </rPh>
    <rPh sb="13" eb="14">
      <t>イリ</t>
    </rPh>
    <phoneticPr fontId="1"/>
  </si>
  <si>
    <t>せんべい・焼菓子（ミックス入）</t>
    <rPh sb="5" eb="6">
      <t>ヤ</t>
    </rPh>
    <rPh sb="6" eb="8">
      <t>ガシ</t>
    </rPh>
    <rPh sb="13" eb="14">
      <t>イリ</t>
    </rPh>
    <phoneticPr fontId="1"/>
  </si>
  <si>
    <t>せんべい49/0.104</t>
    <phoneticPr fontId="1"/>
  </si>
  <si>
    <t>千枚漬</t>
    <rPh sb="0" eb="2">
      <t>センマイ</t>
    </rPh>
    <rPh sb="2" eb="3">
      <t>ヅケ</t>
    </rPh>
    <phoneticPr fontId="1"/>
  </si>
  <si>
    <r>
      <t>そうめん</t>
    </r>
    <r>
      <rPr>
        <b/>
        <sz val="8"/>
        <color theme="1"/>
        <rFont val="ＭＳ Ｐゴシック"/>
        <family val="3"/>
        <charset val="128"/>
        <scheme val="minor"/>
      </rPr>
      <t>（揖保の糸・乾麵）334</t>
    </r>
    <rPh sb="5" eb="7">
      <t>イボ</t>
    </rPh>
    <rPh sb="8" eb="9">
      <t>イト</t>
    </rPh>
    <rPh sb="10" eb="11">
      <t>カン</t>
    </rPh>
    <rPh sb="11" eb="12">
      <t>メン</t>
    </rPh>
    <phoneticPr fontId="1"/>
  </si>
  <si>
    <t>ソース（中濃・ブルドック）</t>
    <rPh sb="4" eb="6">
      <t>チュウノウ</t>
    </rPh>
    <phoneticPr fontId="1"/>
  </si>
  <si>
    <t>ソース(濃厚)26/0.18</t>
    <rPh sb="4" eb="6">
      <t>ノウコウ</t>
    </rPh>
    <phoneticPr fontId="1"/>
  </si>
  <si>
    <t>ソーセイジステーキ329</t>
    <phoneticPr fontId="1"/>
  </si>
  <si>
    <r>
      <t>ソーセージ</t>
    </r>
    <r>
      <rPr>
        <sz val="9"/>
        <color theme="1"/>
        <rFont val="ＭＳ Ｐゴシック"/>
        <family val="3"/>
        <charset val="128"/>
        <scheme val="minor"/>
      </rPr>
      <t>（シャウエッセン）</t>
    </r>
    <phoneticPr fontId="1"/>
  </si>
  <si>
    <r>
      <t>ソーセージ</t>
    </r>
    <r>
      <rPr>
        <b/>
        <sz val="8"/>
        <color theme="1"/>
        <rFont val="ＭＳ Ｐゴシック"/>
        <family val="3"/>
        <charset val="128"/>
        <scheme val="minor"/>
      </rPr>
      <t>（マルちゃん）89/0.75</t>
    </r>
    <phoneticPr fontId="1"/>
  </si>
  <si>
    <r>
      <t>ソーメン</t>
    </r>
    <r>
      <rPr>
        <b/>
        <sz val="8"/>
        <color theme="1"/>
        <rFont val="ＭＳ Ｐゴシック"/>
        <family val="3"/>
        <charset val="128"/>
        <scheme val="minor"/>
      </rPr>
      <t>(揖保の糸・乾麺)332</t>
    </r>
    <rPh sb="5" eb="7">
      <t>イボ</t>
    </rPh>
    <rPh sb="8" eb="9">
      <t>イト</t>
    </rPh>
    <rPh sb="10" eb="12">
      <t>カンメン</t>
    </rPh>
    <phoneticPr fontId="1"/>
  </si>
  <si>
    <t>そば(江丹別・生)</t>
    <rPh sb="3" eb="4">
      <t>エ</t>
    </rPh>
    <rPh sb="4" eb="5">
      <t>ニ</t>
    </rPh>
    <rPh sb="5" eb="6">
      <t>ベツ</t>
    </rPh>
    <rPh sb="7" eb="8">
      <t>ナマ</t>
    </rPh>
    <phoneticPr fontId="1"/>
  </si>
  <si>
    <r>
      <t>そば</t>
    </r>
    <r>
      <rPr>
        <b/>
        <sz val="6"/>
        <color theme="1"/>
        <rFont val="ＭＳ Ｐゴシック"/>
        <family val="3"/>
        <charset val="128"/>
        <scheme val="minor"/>
      </rPr>
      <t>(北の年輪・田舎そば)</t>
    </r>
    <r>
      <rPr>
        <b/>
        <sz val="11"/>
        <color theme="1"/>
        <rFont val="ＭＳ Ｐゴシック"/>
        <family val="3"/>
        <charset val="128"/>
        <scheme val="minor"/>
      </rPr>
      <t>279</t>
    </r>
    <rPh sb="3" eb="4">
      <t>キタ</t>
    </rPh>
    <rPh sb="5" eb="7">
      <t>ネンリン</t>
    </rPh>
    <rPh sb="8" eb="10">
      <t>イナカ</t>
    </rPh>
    <phoneticPr fontId="1"/>
  </si>
  <si>
    <t>そば（ざるそば・ゆで）114</t>
    <phoneticPr fontId="1"/>
  </si>
  <si>
    <t>そば(鹿追・なま)284</t>
    <rPh sb="3" eb="5">
      <t>シカオイ</t>
    </rPh>
    <phoneticPr fontId="1"/>
  </si>
  <si>
    <t>そば(なま)344.6</t>
    <phoneticPr fontId="1"/>
  </si>
  <si>
    <t>そば(生・一般的)274</t>
    <rPh sb="3" eb="4">
      <t>ナマ</t>
    </rPh>
    <rPh sb="5" eb="7">
      <t>イッパン</t>
    </rPh>
    <rPh sb="7" eb="8">
      <t>テキ</t>
    </rPh>
    <phoneticPr fontId="1"/>
  </si>
  <si>
    <t>そば(生・江丹別)330/1.2</t>
    <rPh sb="3" eb="4">
      <t>ナマ</t>
    </rPh>
    <rPh sb="5" eb="6">
      <t>エ</t>
    </rPh>
    <rPh sb="6" eb="7">
      <t>タン</t>
    </rPh>
    <rPh sb="7" eb="8">
      <t>ベツ</t>
    </rPh>
    <phoneticPr fontId="1"/>
  </si>
  <si>
    <t>そば(生・ゆで・一般的)132</t>
    <rPh sb="3" eb="4">
      <t>ナマ</t>
    </rPh>
    <rPh sb="8" eb="10">
      <t>イッパン</t>
    </rPh>
    <rPh sb="10" eb="11">
      <t>テキ</t>
    </rPh>
    <phoneticPr fontId="1"/>
  </si>
  <si>
    <r>
      <t>そば</t>
    </r>
    <r>
      <rPr>
        <b/>
        <sz val="9"/>
        <color theme="1"/>
        <rFont val="ＭＳ Ｐゴシック"/>
        <family val="3"/>
        <charset val="128"/>
        <scheme val="minor"/>
      </rPr>
      <t>（干そば・一般的）・干し344</t>
    </r>
    <rPh sb="3" eb="4">
      <t>ホ</t>
    </rPh>
    <rPh sb="7" eb="10">
      <t>イッパンテキ</t>
    </rPh>
    <rPh sb="12" eb="13">
      <t>ホ</t>
    </rPh>
    <phoneticPr fontId="1"/>
  </si>
  <si>
    <r>
      <t>そば</t>
    </r>
    <r>
      <rPr>
        <b/>
        <sz val="9"/>
        <color theme="1"/>
        <rFont val="ＭＳ Ｐゴシック"/>
        <family val="3"/>
        <charset val="128"/>
        <scheme val="minor"/>
      </rPr>
      <t>（干そば・一般的）・ゆで114</t>
    </r>
    <rPh sb="3" eb="4">
      <t>ホ</t>
    </rPh>
    <rPh sb="7" eb="10">
      <t>イッパンテキ</t>
    </rPh>
    <phoneticPr fontId="1"/>
  </si>
  <si>
    <t>そば（ゆであがり）296/2.6</t>
    <phoneticPr fontId="1"/>
  </si>
  <si>
    <t>そばつゆ40</t>
    <phoneticPr fontId="1"/>
  </si>
  <si>
    <t>ソフトクリーム146</t>
    <phoneticPr fontId="1"/>
  </si>
  <si>
    <t>タイ（マダイ養殖・生）</t>
    <rPh sb="6" eb="8">
      <t>ヨウショク</t>
    </rPh>
    <rPh sb="9" eb="10">
      <t>ナマ</t>
    </rPh>
    <phoneticPr fontId="1"/>
  </si>
  <si>
    <t>タイ（マダイ養殖・焼き）</t>
    <rPh sb="6" eb="8">
      <t>ヨウショク</t>
    </rPh>
    <rPh sb="9" eb="10">
      <t>ヤ</t>
    </rPh>
    <phoneticPr fontId="1"/>
  </si>
  <si>
    <t>太鼓せんべい475</t>
    <rPh sb="0" eb="2">
      <t>タイコ</t>
    </rPh>
    <phoneticPr fontId="1"/>
  </si>
  <si>
    <t>大根（皮付・生）</t>
    <rPh sb="0" eb="2">
      <t>ダイコン</t>
    </rPh>
    <rPh sb="3" eb="4">
      <t>カワ</t>
    </rPh>
    <rPh sb="4" eb="5">
      <t>ツキ</t>
    </rPh>
    <rPh sb="6" eb="7">
      <t>ナマ</t>
    </rPh>
    <phoneticPr fontId="1"/>
  </si>
  <si>
    <t>大根（皮むき・生）</t>
    <rPh sb="0" eb="2">
      <t>ダイコン</t>
    </rPh>
    <rPh sb="3" eb="4">
      <t>カワ</t>
    </rPh>
    <rPh sb="7" eb="8">
      <t>ナマ</t>
    </rPh>
    <phoneticPr fontId="1"/>
  </si>
  <si>
    <t>大根(皮むき・ゆで)</t>
    <rPh sb="0" eb="2">
      <t>ダイコン</t>
    </rPh>
    <rPh sb="3" eb="4">
      <t>カワ</t>
    </rPh>
    <phoneticPr fontId="1"/>
  </si>
  <si>
    <t>大根の漬物（漬物・べったら漬）</t>
    <rPh sb="0" eb="2">
      <t>ダイコン</t>
    </rPh>
    <rPh sb="3" eb="5">
      <t>ツケモノ</t>
    </rPh>
    <rPh sb="6" eb="8">
      <t>ツケモノ</t>
    </rPh>
    <rPh sb="13" eb="14">
      <t>ヅ</t>
    </rPh>
    <phoneticPr fontId="1"/>
  </si>
  <si>
    <t>大根葉（生）</t>
    <rPh sb="0" eb="2">
      <t>ダイコン</t>
    </rPh>
    <rPh sb="2" eb="3">
      <t>ハ</t>
    </rPh>
    <rPh sb="4" eb="5">
      <t>ナマ</t>
    </rPh>
    <phoneticPr fontId="1"/>
  </si>
  <si>
    <t>大根葉（ゆで）</t>
    <rPh sb="0" eb="2">
      <t>ダイコン</t>
    </rPh>
    <rPh sb="2" eb="3">
      <t>ハ</t>
    </rPh>
    <phoneticPr fontId="1"/>
  </si>
  <si>
    <t>大豆(国産)乾</t>
    <rPh sb="0" eb="2">
      <t>ダイズ</t>
    </rPh>
    <rPh sb="3" eb="5">
      <t>コクサン</t>
    </rPh>
    <rPh sb="6" eb="7">
      <t>カン</t>
    </rPh>
    <phoneticPr fontId="1"/>
  </si>
  <si>
    <t>大豆(国産)ゆで</t>
    <rPh sb="0" eb="2">
      <t>ダイズ</t>
    </rPh>
    <rPh sb="3" eb="5">
      <t>コクサン</t>
    </rPh>
    <phoneticPr fontId="1"/>
  </si>
  <si>
    <t>大豆モヤシ（生）</t>
    <rPh sb="0" eb="2">
      <t>ダイズ</t>
    </rPh>
    <rPh sb="6" eb="7">
      <t>ナマ</t>
    </rPh>
    <phoneticPr fontId="1"/>
  </si>
  <si>
    <t>大豆モヤシ（ゆで）</t>
    <rPh sb="0" eb="2">
      <t>ダイズ</t>
    </rPh>
    <phoneticPr fontId="1"/>
  </si>
  <si>
    <t>たい焼き220/0.949</t>
    <rPh sb="2" eb="3">
      <t>ヤ</t>
    </rPh>
    <phoneticPr fontId="1"/>
  </si>
  <si>
    <t>タカラ本みりん42/0.15</t>
    <rPh sb="3" eb="4">
      <t>ホン</t>
    </rPh>
    <phoneticPr fontId="1"/>
  </si>
  <si>
    <t>沢庵（新漬）64</t>
    <rPh sb="0" eb="2">
      <t>タクワン</t>
    </rPh>
    <rPh sb="3" eb="4">
      <t>シン</t>
    </rPh>
    <rPh sb="4" eb="5">
      <t>ツ</t>
    </rPh>
    <phoneticPr fontId="1"/>
  </si>
  <si>
    <t>沢庵（干漬・本沢庵）27</t>
    <rPh sb="0" eb="2">
      <t>タクワン</t>
    </rPh>
    <rPh sb="3" eb="4">
      <t>ホ</t>
    </rPh>
    <rPh sb="4" eb="5">
      <t>ツ</t>
    </rPh>
    <rPh sb="6" eb="7">
      <t>ホン</t>
    </rPh>
    <rPh sb="7" eb="9">
      <t>タクワン</t>
    </rPh>
    <phoneticPr fontId="1"/>
  </si>
  <si>
    <t>竹の子(生)</t>
    <rPh sb="0" eb="1">
      <t>タケ</t>
    </rPh>
    <rPh sb="2" eb="3">
      <t>コ</t>
    </rPh>
    <rPh sb="4" eb="5">
      <t>ナマ</t>
    </rPh>
    <phoneticPr fontId="1"/>
  </si>
  <si>
    <t>竹の子(ゆで)</t>
    <rPh sb="0" eb="1">
      <t>タケ</t>
    </rPh>
    <rPh sb="2" eb="3">
      <t>コ</t>
    </rPh>
    <phoneticPr fontId="1"/>
  </si>
  <si>
    <t>タコ（まだこ・生）</t>
    <rPh sb="7" eb="8">
      <t>ナマ</t>
    </rPh>
    <phoneticPr fontId="1"/>
  </si>
  <si>
    <t>タコ（まだこ・ゆで）</t>
    <phoneticPr fontId="1"/>
  </si>
  <si>
    <t>だし醤油・つゆ129</t>
    <rPh sb="2" eb="4">
      <t>ショウユ</t>
    </rPh>
    <phoneticPr fontId="1"/>
  </si>
  <si>
    <t>伊達巻</t>
    <rPh sb="0" eb="3">
      <t>ダテマキ</t>
    </rPh>
    <phoneticPr fontId="1"/>
  </si>
  <si>
    <t>卵（全卵・生）</t>
    <rPh sb="0" eb="1">
      <t>タマゴ</t>
    </rPh>
    <rPh sb="2" eb="3">
      <t>ゼン</t>
    </rPh>
    <rPh sb="3" eb="4">
      <t>ラン</t>
    </rPh>
    <rPh sb="5" eb="6">
      <t>ナマ</t>
    </rPh>
    <phoneticPr fontId="1"/>
  </si>
  <si>
    <t>卵（全卵・ゆで）</t>
    <rPh sb="0" eb="1">
      <t>タマゴ</t>
    </rPh>
    <rPh sb="2" eb="3">
      <t>ゼン</t>
    </rPh>
    <rPh sb="3" eb="4">
      <t>ラン</t>
    </rPh>
    <phoneticPr fontId="1"/>
  </si>
  <si>
    <t>卵とじ（にら）158/1.165</t>
    <rPh sb="0" eb="1">
      <t>タマゴ</t>
    </rPh>
    <phoneticPr fontId="1"/>
  </si>
  <si>
    <t>たもぎたけ</t>
    <phoneticPr fontId="1"/>
  </si>
  <si>
    <t>たら（すけそうだら生）</t>
    <rPh sb="9" eb="10">
      <t>ナマ</t>
    </rPh>
    <phoneticPr fontId="1"/>
  </si>
  <si>
    <t>たら（すけそうだら焼き）</t>
    <rPh sb="9" eb="10">
      <t>ヤ</t>
    </rPh>
    <phoneticPr fontId="1"/>
  </si>
  <si>
    <t>たら(まだら・生)</t>
    <rPh sb="7" eb="8">
      <t>ナマ</t>
    </rPh>
    <phoneticPr fontId="1"/>
  </si>
  <si>
    <t>たら(まだら・焼き)</t>
    <rPh sb="7" eb="8">
      <t>ヤ</t>
    </rPh>
    <phoneticPr fontId="1"/>
  </si>
  <si>
    <t>たらこ（生）</t>
    <rPh sb="4" eb="5">
      <t>ナマ</t>
    </rPh>
    <phoneticPr fontId="1"/>
  </si>
  <si>
    <t>タルト（フルーツ）214</t>
    <phoneticPr fontId="1"/>
  </si>
  <si>
    <t>竹輪（焼き竹輪）</t>
    <rPh sb="0" eb="2">
      <t>チクワ</t>
    </rPh>
    <rPh sb="3" eb="4">
      <t>ヤ</t>
    </rPh>
    <rPh sb="5" eb="7">
      <t>チクワ</t>
    </rPh>
    <phoneticPr fontId="1"/>
  </si>
  <si>
    <t>ちくわ100</t>
    <phoneticPr fontId="1"/>
  </si>
  <si>
    <t>ちくわ28/0.25</t>
    <phoneticPr fontId="1"/>
  </si>
  <si>
    <t>ちくわ50/0.5</t>
    <phoneticPr fontId="1"/>
  </si>
  <si>
    <t>ちくわ54/0.54</t>
    <phoneticPr fontId="1"/>
  </si>
  <si>
    <t>竹輪ふ</t>
    <rPh sb="0" eb="2">
      <t>チクワ</t>
    </rPh>
    <phoneticPr fontId="1"/>
  </si>
  <si>
    <r>
      <t>チャーシュー</t>
    </r>
    <r>
      <rPr>
        <sz val="9"/>
        <color theme="1"/>
        <rFont val="ＭＳ Ｐゴシック"/>
        <family val="3"/>
        <charset val="128"/>
        <scheme val="minor"/>
      </rPr>
      <t>（焼き豚）172</t>
    </r>
    <rPh sb="7" eb="8">
      <t>ヤ</t>
    </rPh>
    <rPh sb="9" eb="10">
      <t>ブタ</t>
    </rPh>
    <phoneticPr fontId="1"/>
  </si>
  <si>
    <r>
      <t>チャーハン</t>
    </r>
    <r>
      <rPr>
        <b/>
        <sz val="9"/>
        <color theme="1"/>
        <rFont val="ＭＳ Ｐゴシック"/>
        <family val="3"/>
        <charset val="128"/>
        <scheme val="minor"/>
      </rPr>
      <t>(えび)の素18/0.07</t>
    </r>
    <rPh sb="10" eb="11">
      <t>モト</t>
    </rPh>
    <phoneticPr fontId="1"/>
  </si>
  <si>
    <r>
      <t>チャーハン</t>
    </r>
    <r>
      <rPr>
        <b/>
        <sz val="9"/>
        <color theme="1"/>
        <rFont val="ＭＳ Ｐゴシック"/>
        <family val="3"/>
        <charset val="128"/>
        <scheme val="minor"/>
      </rPr>
      <t>(かに)の素18/0.068</t>
    </r>
    <rPh sb="10" eb="11">
      <t>モト</t>
    </rPh>
    <phoneticPr fontId="1"/>
  </si>
  <si>
    <r>
      <t>チャーハン</t>
    </r>
    <r>
      <rPr>
        <b/>
        <sz val="9"/>
        <color theme="1"/>
        <rFont val="ＭＳ Ｐゴシック"/>
        <family val="3"/>
        <charset val="128"/>
        <scheme val="minor"/>
      </rPr>
      <t>の素</t>
    </r>
    <r>
      <rPr>
        <b/>
        <sz val="8"/>
        <color theme="1"/>
        <rFont val="ＭＳ Ｐゴシック"/>
        <family val="3"/>
        <charset val="128"/>
        <scheme val="minor"/>
      </rPr>
      <t>ガーリック22/0.077</t>
    </r>
    <rPh sb="6" eb="7">
      <t>モト</t>
    </rPh>
    <phoneticPr fontId="1"/>
  </si>
  <si>
    <t>中華めん(乾そう麺)365</t>
    <rPh sb="0" eb="2">
      <t>チュウカ</t>
    </rPh>
    <rPh sb="5" eb="6">
      <t>カン</t>
    </rPh>
    <rPh sb="8" eb="9">
      <t>メン</t>
    </rPh>
    <phoneticPr fontId="1"/>
  </si>
  <si>
    <t>中華めん（ゆで）</t>
    <rPh sb="0" eb="2">
      <t>チュウカ</t>
    </rPh>
    <phoneticPr fontId="1"/>
  </si>
  <si>
    <r>
      <t>チョコ・ビスケ菓子</t>
    </r>
    <r>
      <rPr>
        <b/>
        <sz val="6"/>
        <color theme="1"/>
        <rFont val="ＭＳ Ｐゴシック"/>
        <family val="3"/>
        <charset val="128"/>
        <scheme val="minor"/>
      </rPr>
      <t>169/0.33</t>
    </r>
    <rPh sb="7" eb="9">
      <t>カシ</t>
    </rPh>
    <phoneticPr fontId="1"/>
  </si>
  <si>
    <t>つくだ煮（こなご）</t>
    <rPh sb="3" eb="4">
      <t>ニ</t>
    </rPh>
    <phoneticPr fontId="1"/>
  </si>
  <si>
    <t>つぶ(生)</t>
    <rPh sb="3" eb="4">
      <t>ナマ</t>
    </rPh>
    <phoneticPr fontId="1"/>
  </si>
  <si>
    <t>つみれ</t>
    <phoneticPr fontId="1"/>
  </si>
  <si>
    <t>でこぽん</t>
    <phoneticPr fontId="1"/>
  </si>
  <si>
    <t>天ぷら（小樽）135</t>
    <rPh sb="0" eb="1">
      <t>テン</t>
    </rPh>
    <rPh sb="4" eb="6">
      <t>オタル</t>
    </rPh>
    <phoneticPr fontId="1"/>
  </si>
  <si>
    <t>天ぷらかまぼこ</t>
    <rPh sb="0" eb="1">
      <t>テン</t>
    </rPh>
    <phoneticPr fontId="1"/>
  </si>
  <si>
    <t>天ぷら粉360</t>
    <rPh sb="0" eb="1">
      <t>テン</t>
    </rPh>
    <rPh sb="3" eb="4">
      <t>コ</t>
    </rPh>
    <phoneticPr fontId="1"/>
  </si>
  <si>
    <r>
      <t>でんぷん粉</t>
    </r>
    <r>
      <rPr>
        <b/>
        <sz val="8"/>
        <color theme="1"/>
        <rFont val="ＭＳ Ｐゴシック"/>
        <family val="3"/>
        <charset val="128"/>
        <scheme val="minor"/>
      </rPr>
      <t>（じゃがいも）</t>
    </r>
    <rPh sb="4" eb="5">
      <t>コ</t>
    </rPh>
    <phoneticPr fontId="1"/>
  </si>
  <si>
    <r>
      <t>とうきび</t>
    </r>
    <r>
      <rPr>
        <b/>
        <sz val="8"/>
        <color theme="1"/>
        <rFont val="ＭＳ Ｐゴシック"/>
        <family val="3"/>
        <charset val="128"/>
        <scheme val="minor"/>
      </rPr>
      <t>（スイートコン）ゆで</t>
    </r>
    <phoneticPr fontId="1"/>
  </si>
  <si>
    <t>豆腐(油あげ)</t>
    <rPh sb="0" eb="2">
      <t>トウフ</t>
    </rPh>
    <rPh sb="3" eb="4">
      <t>アブラ</t>
    </rPh>
    <phoneticPr fontId="1"/>
  </si>
  <si>
    <t>豆腐(絹ごし)</t>
    <rPh sb="0" eb="2">
      <t>トウフ</t>
    </rPh>
    <rPh sb="3" eb="4">
      <t>キヌ</t>
    </rPh>
    <phoneticPr fontId="1"/>
  </si>
  <si>
    <t>豆腐(生揚げ・一般)</t>
    <rPh sb="0" eb="2">
      <t>トウフ</t>
    </rPh>
    <rPh sb="3" eb="5">
      <t>ナマア</t>
    </rPh>
    <rPh sb="7" eb="9">
      <t>イッパン</t>
    </rPh>
    <phoneticPr fontId="1"/>
  </si>
  <si>
    <t>豆腐(もめん)N73</t>
    <rPh sb="0" eb="2">
      <t>トウフ</t>
    </rPh>
    <phoneticPr fontId="1"/>
  </si>
  <si>
    <t>豆腐(もめん)T92</t>
    <rPh sb="0" eb="2">
      <t>トウフ</t>
    </rPh>
    <phoneticPr fontId="1"/>
  </si>
  <si>
    <t>豆腐72</t>
    <rPh sb="0" eb="2">
      <t>トウフ</t>
    </rPh>
    <phoneticPr fontId="1"/>
  </si>
  <si>
    <t>トマト</t>
    <phoneticPr fontId="1"/>
  </si>
  <si>
    <t>トマト（ミニトマト）</t>
    <phoneticPr fontId="1"/>
  </si>
  <si>
    <t>とら豆161</t>
    <rPh sb="2" eb="3">
      <t>マメ</t>
    </rPh>
    <phoneticPr fontId="1"/>
  </si>
  <si>
    <t>とら豆187</t>
    <rPh sb="2" eb="3">
      <t>マメ</t>
    </rPh>
    <phoneticPr fontId="1"/>
  </si>
  <si>
    <t>どら焼き172/0.634</t>
    <rPh sb="2" eb="3">
      <t>ヤ</t>
    </rPh>
    <phoneticPr fontId="1"/>
  </si>
  <si>
    <t>鶏（成鶏・ささ身)</t>
    <rPh sb="0" eb="1">
      <t>トリ</t>
    </rPh>
    <rPh sb="2" eb="3">
      <t>シゲル</t>
    </rPh>
    <rPh sb="3" eb="4">
      <t>トリ</t>
    </rPh>
    <rPh sb="7" eb="8">
      <t>ミ</t>
    </rPh>
    <phoneticPr fontId="1"/>
  </si>
  <si>
    <t>鶏（成鶏・手羽・皮つき・生)</t>
    <rPh sb="0" eb="1">
      <t>トリ</t>
    </rPh>
    <rPh sb="2" eb="3">
      <t>シゲル</t>
    </rPh>
    <rPh sb="3" eb="4">
      <t>トリ</t>
    </rPh>
    <rPh sb="5" eb="7">
      <t>テバ</t>
    </rPh>
    <rPh sb="8" eb="9">
      <t>カワ</t>
    </rPh>
    <rPh sb="12" eb="13">
      <t>ナマ</t>
    </rPh>
    <phoneticPr fontId="1"/>
  </si>
  <si>
    <t>鶏(成鶏・皮なし・もも・生)</t>
    <rPh sb="0" eb="1">
      <t>トリ</t>
    </rPh>
    <rPh sb="2" eb="3">
      <t>ナ</t>
    </rPh>
    <rPh sb="3" eb="4">
      <t>トリ</t>
    </rPh>
    <rPh sb="5" eb="6">
      <t>カワ</t>
    </rPh>
    <rPh sb="12" eb="13">
      <t>ナマ</t>
    </rPh>
    <phoneticPr fontId="1"/>
  </si>
  <si>
    <t>鶏（焼き鳥）</t>
    <rPh sb="0" eb="1">
      <t>トリ</t>
    </rPh>
    <rPh sb="2" eb="3">
      <t>ヤ</t>
    </rPh>
    <rPh sb="4" eb="5">
      <t>トリ</t>
    </rPh>
    <phoneticPr fontId="1"/>
  </si>
  <si>
    <t>鶏（若鶏・ささ身）</t>
    <rPh sb="0" eb="1">
      <t>トリ</t>
    </rPh>
    <rPh sb="2" eb="3">
      <t>ワカ</t>
    </rPh>
    <rPh sb="3" eb="4">
      <t>トリ</t>
    </rPh>
    <rPh sb="7" eb="8">
      <t>ミ</t>
    </rPh>
    <phoneticPr fontId="1"/>
  </si>
  <si>
    <t>鶏（若鶏・手羽・皮つき・生）</t>
    <rPh sb="0" eb="1">
      <t>トリ</t>
    </rPh>
    <rPh sb="2" eb="3">
      <t>ワカ</t>
    </rPh>
    <rPh sb="3" eb="4">
      <t>トリ</t>
    </rPh>
    <rPh sb="5" eb="7">
      <t>テバ</t>
    </rPh>
    <rPh sb="8" eb="9">
      <t>カワ</t>
    </rPh>
    <rPh sb="12" eb="13">
      <t>ナマ</t>
    </rPh>
    <phoneticPr fontId="1"/>
  </si>
  <si>
    <t>ドロップ</t>
    <phoneticPr fontId="1"/>
  </si>
  <si>
    <r>
      <t>トンガリコーン</t>
    </r>
    <r>
      <rPr>
        <b/>
        <sz val="6"/>
        <color theme="1"/>
        <rFont val="ＭＳ Ｐゴシック"/>
        <family val="3"/>
        <charset val="128"/>
        <scheme val="minor"/>
      </rPr>
      <t>（パンプキン）405/0.75</t>
    </r>
    <phoneticPr fontId="1"/>
  </si>
  <si>
    <r>
      <t>豚骨</t>
    </r>
    <r>
      <rPr>
        <b/>
        <sz val="9"/>
        <color theme="1"/>
        <rFont val="ＭＳ Ｐゴシック"/>
        <family val="3"/>
        <charset val="128"/>
        <scheme val="minor"/>
      </rPr>
      <t>味噌ラーメンスープ（一般）</t>
    </r>
    <rPh sb="0" eb="2">
      <t>トンコツ</t>
    </rPh>
    <rPh sb="2" eb="4">
      <t>ミソ</t>
    </rPh>
    <rPh sb="12" eb="14">
      <t>イッパン</t>
    </rPh>
    <phoneticPr fontId="1"/>
  </si>
  <si>
    <t>長いも</t>
    <rPh sb="0" eb="1">
      <t>ナガ</t>
    </rPh>
    <phoneticPr fontId="1"/>
  </si>
  <si>
    <t>なが天ぷら108/0.62</t>
    <rPh sb="2" eb="3">
      <t>テン</t>
    </rPh>
    <phoneticPr fontId="1"/>
  </si>
  <si>
    <t>なし（西洋梨）</t>
    <rPh sb="3" eb="5">
      <t>セイヨウ</t>
    </rPh>
    <rPh sb="5" eb="6">
      <t>ナシ</t>
    </rPh>
    <phoneticPr fontId="1"/>
  </si>
  <si>
    <t>なし（日本梨）</t>
    <rPh sb="3" eb="5">
      <t>ニホン</t>
    </rPh>
    <rPh sb="5" eb="6">
      <t>ナシ</t>
    </rPh>
    <phoneticPr fontId="1"/>
  </si>
  <si>
    <t>ナス（生）</t>
    <rPh sb="3" eb="4">
      <t>ナマ</t>
    </rPh>
    <phoneticPr fontId="1"/>
  </si>
  <si>
    <t>なす（焼きなす）75</t>
    <rPh sb="3" eb="4">
      <t>ヤ</t>
    </rPh>
    <phoneticPr fontId="1"/>
  </si>
  <si>
    <t>ナス（ゆで）</t>
    <phoneticPr fontId="1"/>
  </si>
  <si>
    <t>納豆(糸引き)</t>
    <rPh sb="0" eb="2">
      <t>ナットウ</t>
    </rPh>
    <rPh sb="3" eb="4">
      <t>イト</t>
    </rPh>
    <rPh sb="4" eb="5">
      <t>ヒ</t>
    </rPh>
    <phoneticPr fontId="1"/>
  </si>
  <si>
    <t>納豆(ひきわり)</t>
    <rPh sb="0" eb="2">
      <t>ナットウ</t>
    </rPh>
    <phoneticPr fontId="1"/>
  </si>
  <si>
    <t>なばな(生)</t>
    <rPh sb="4" eb="5">
      <t>ナマ</t>
    </rPh>
    <phoneticPr fontId="1"/>
  </si>
  <si>
    <t>なばな(茹)</t>
    <rPh sb="4" eb="5">
      <t>ユ</t>
    </rPh>
    <phoneticPr fontId="1"/>
  </si>
  <si>
    <t>生クリーム(ホイップ)</t>
    <rPh sb="0" eb="1">
      <t>ナマ</t>
    </rPh>
    <phoneticPr fontId="1"/>
  </si>
  <si>
    <t>なます（一般的）40</t>
    <rPh sb="4" eb="7">
      <t>イッパンテキ</t>
    </rPh>
    <phoneticPr fontId="1"/>
  </si>
  <si>
    <t>生そば(更科)284</t>
    <rPh sb="0" eb="1">
      <t>ナマ</t>
    </rPh>
    <rPh sb="4" eb="6">
      <t>サラシナ</t>
    </rPh>
    <phoneticPr fontId="1"/>
  </si>
  <si>
    <t>生中華めん264</t>
    <rPh sb="0" eb="1">
      <t>ナマ</t>
    </rPh>
    <rPh sb="1" eb="3">
      <t>チュウカ</t>
    </rPh>
    <phoneticPr fontId="1"/>
  </si>
  <si>
    <t>なめこ(生)</t>
    <rPh sb="4" eb="5">
      <t>ナマ</t>
    </rPh>
    <phoneticPr fontId="1"/>
  </si>
  <si>
    <t>なめこ(ゆで)</t>
    <phoneticPr fontId="1"/>
  </si>
  <si>
    <r>
      <rPr>
        <b/>
        <sz val="9"/>
        <color theme="1"/>
        <rFont val="ＭＳ Ｐゴシック"/>
        <family val="3"/>
        <charset val="128"/>
        <scheme val="minor"/>
      </rPr>
      <t>南部せんべい</t>
    </r>
    <r>
      <rPr>
        <b/>
        <sz val="6"/>
        <color theme="1"/>
        <rFont val="ＭＳ Ｐゴシック"/>
        <family val="3"/>
        <charset val="128"/>
        <scheme val="minor"/>
      </rPr>
      <t>（落花生入）83/0.17</t>
    </r>
    <rPh sb="0" eb="2">
      <t>ナンブ</t>
    </rPh>
    <rPh sb="7" eb="10">
      <t>ラッカセイ</t>
    </rPh>
    <rPh sb="10" eb="11">
      <t>イ</t>
    </rPh>
    <phoneticPr fontId="1"/>
  </si>
  <si>
    <t>ニシン（生）</t>
    <rPh sb="4" eb="5">
      <t>ナマ</t>
    </rPh>
    <phoneticPr fontId="1"/>
  </si>
  <si>
    <t>にしん（開き干し）</t>
    <rPh sb="4" eb="5">
      <t>ヒラ</t>
    </rPh>
    <rPh sb="6" eb="7">
      <t>ホ</t>
    </rPh>
    <phoneticPr fontId="1"/>
  </si>
  <si>
    <t>ニシン田舎煮249</t>
    <rPh sb="3" eb="5">
      <t>イナカ</t>
    </rPh>
    <rPh sb="5" eb="6">
      <t>ニ</t>
    </rPh>
    <phoneticPr fontId="1"/>
  </si>
  <si>
    <t>日本すもも</t>
    <rPh sb="0" eb="2">
      <t>ニホン</t>
    </rPh>
    <phoneticPr fontId="1"/>
  </si>
  <si>
    <t>にら（生）</t>
    <rPh sb="3" eb="4">
      <t>ナマ</t>
    </rPh>
    <phoneticPr fontId="1"/>
  </si>
  <si>
    <t>人参（皮付・生）</t>
    <rPh sb="0" eb="2">
      <t>ニンジン</t>
    </rPh>
    <rPh sb="3" eb="5">
      <t>カワツキ</t>
    </rPh>
    <rPh sb="6" eb="7">
      <t>ナマ</t>
    </rPh>
    <phoneticPr fontId="1"/>
  </si>
  <si>
    <t>人参（皮付・ゆで）</t>
    <rPh sb="0" eb="2">
      <t>ニンジン</t>
    </rPh>
    <rPh sb="3" eb="5">
      <t>カワツキ</t>
    </rPh>
    <phoneticPr fontId="1"/>
  </si>
  <si>
    <t>人参（皮むき・生）</t>
    <rPh sb="0" eb="2">
      <t>ニンジン</t>
    </rPh>
    <rPh sb="3" eb="4">
      <t>カワ</t>
    </rPh>
    <rPh sb="7" eb="8">
      <t>ナマ</t>
    </rPh>
    <phoneticPr fontId="1"/>
  </si>
  <si>
    <t>人参（皮むき・ゆで）</t>
    <rPh sb="0" eb="2">
      <t>ニンジン</t>
    </rPh>
    <rPh sb="3" eb="4">
      <t>カワ</t>
    </rPh>
    <phoneticPr fontId="1"/>
  </si>
  <si>
    <t>ねぎ</t>
    <phoneticPr fontId="1"/>
  </si>
  <si>
    <t>根みつば(生)</t>
    <rPh sb="0" eb="1">
      <t>ネ</t>
    </rPh>
    <rPh sb="5" eb="6">
      <t>ナマ</t>
    </rPh>
    <phoneticPr fontId="1"/>
  </si>
  <si>
    <t>根みつば(ゆで)</t>
    <rPh sb="0" eb="1">
      <t>ネ</t>
    </rPh>
    <phoneticPr fontId="1"/>
  </si>
  <si>
    <t>練りわさび265</t>
    <rPh sb="0" eb="1">
      <t>ネ</t>
    </rPh>
    <phoneticPr fontId="1"/>
  </si>
  <si>
    <t>バームクーヘン361</t>
    <phoneticPr fontId="1"/>
  </si>
  <si>
    <t>パインアップル（缶詰）</t>
    <rPh sb="8" eb="10">
      <t>カンヅメ</t>
    </rPh>
    <phoneticPr fontId="1"/>
  </si>
  <si>
    <t>パインアップル（生）</t>
    <rPh sb="8" eb="9">
      <t>ナマ</t>
    </rPh>
    <phoneticPr fontId="1"/>
  </si>
  <si>
    <t>バウンドケーキ199/0.504</t>
    <phoneticPr fontId="1"/>
  </si>
  <si>
    <t>はくさい（生）</t>
    <rPh sb="5" eb="6">
      <t>ナマ</t>
    </rPh>
    <phoneticPr fontId="1"/>
  </si>
  <si>
    <t>はくさい（ゆで）</t>
    <phoneticPr fontId="1"/>
  </si>
  <si>
    <r>
      <t>バター・クッキー</t>
    </r>
    <r>
      <rPr>
        <b/>
        <sz val="6"/>
        <color theme="1"/>
        <rFont val="ＭＳ Ｐゴシック"/>
        <family val="3"/>
        <charset val="128"/>
        <scheme val="minor"/>
      </rPr>
      <t>（セブーレ）47/0.092</t>
    </r>
    <phoneticPr fontId="1"/>
  </si>
  <si>
    <r>
      <t>蜂蜜カリントウ</t>
    </r>
    <r>
      <rPr>
        <b/>
        <sz val="8"/>
        <color theme="1"/>
        <rFont val="ＭＳ Ｐゴシック"/>
        <family val="3"/>
        <charset val="128"/>
        <scheme val="minor"/>
      </rPr>
      <t>黒蜂133/0.25</t>
    </r>
    <rPh sb="0" eb="2">
      <t>ハチミツ</t>
    </rPh>
    <rPh sb="7" eb="8">
      <t>クロ</t>
    </rPh>
    <rPh sb="8" eb="9">
      <t>ハチ</t>
    </rPh>
    <phoneticPr fontId="1"/>
  </si>
  <si>
    <t>蜂蜜カリントー531</t>
    <rPh sb="0" eb="2">
      <t>ハチミツ</t>
    </rPh>
    <phoneticPr fontId="1"/>
  </si>
  <si>
    <t>はっさく</t>
    <phoneticPr fontId="1"/>
  </si>
  <si>
    <t>バナナ</t>
    <phoneticPr fontId="1"/>
  </si>
  <si>
    <r>
      <t>バナナチップス</t>
    </r>
    <r>
      <rPr>
        <b/>
        <sz val="6"/>
        <color theme="1"/>
        <rFont val="ＭＳ Ｐゴシック"/>
        <family val="3"/>
        <charset val="128"/>
        <scheme val="minor"/>
      </rPr>
      <t>（菓子）246/0.45</t>
    </r>
    <rPh sb="8" eb="10">
      <t>カシ</t>
    </rPh>
    <phoneticPr fontId="1"/>
  </si>
  <si>
    <t>はまち（養殖・生）</t>
    <rPh sb="4" eb="6">
      <t>ヨウショク</t>
    </rPh>
    <rPh sb="7" eb="8">
      <t>ナマ</t>
    </rPh>
    <phoneticPr fontId="1"/>
  </si>
  <si>
    <t>ハム(混合プレス)</t>
    <rPh sb="3" eb="5">
      <t>コンゴウ</t>
    </rPh>
    <phoneticPr fontId="1"/>
  </si>
  <si>
    <t>ハム（生ハム）64/0.55</t>
    <rPh sb="3" eb="4">
      <t>ナマ</t>
    </rPh>
    <phoneticPr fontId="1"/>
  </si>
  <si>
    <t>ハム(生ハム)76/0.5</t>
    <rPh sb="3" eb="4">
      <t>ナマ</t>
    </rPh>
    <phoneticPr fontId="1"/>
  </si>
  <si>
    <r>
      <t>ハム</t>
    </r>
    <r>
      <rPr>
        <b/>
        <sz val="6"/>
        <color theme="1"/>
        <rFont val="ＭＳ Ｐゴシック"/>
        <family val="3"/>
        <charset val="128"/>
        <scheme val="minor"/>
      </rPr>
      <t>（ロースハム）</t>
    </r>
    <r>
      <rPr>
        <sz val="11"/>
        <color theme="1"/>
        <rFont val="ＭＳ Ｐゴシック"/>
        <family val="3"/>
        <charset val="128"/>
        <scheme val="minor"/>
      </rPr>
      <t>41/0.38</t>
    </r>
    <phoneticPr fontId="1"/>
  </si>
  <si>
    <t>春巻き199</t>
    <rPh sb="0" eb="2">
      <t>ハルマ</t>
    </rPh>
    <phoneticPr fontId="1"/>
  </si>
  <si>
    <t>パン(食パン)</t>
    <rPh sb="3" eb="4">
      <t>ショク</t>
    </rPh>
    <phoneticPr fontId="1"/>
  </si>
  <si>
    <t>はんぺん</t>
    <phoneticPr fontId="1"/>
  </si>
  <si>
    <t>ピーナツバタークッキイ39/0.071</t>
    <phoneticPr fontId="1"/>
  </si>
  <si>
    <t>ピーマン（青・生）</t>
    <rPh sb="5" eb="6">
      <t>アオ</t>
    </rPh>
    <rPh sb="7" eb="8">
      <t>ナマ</t>
    </rPh>
    <phoneticPr fontId="1"/>
  </si>
  <si>
    <t>ピーマン（赤・生）</t>
    <rPh sb="5" eb="6">
      <t>アカ</t>
    </rPh>
    <rPh sb="7" eb="8">
      <t>ナマ</t>
    </rPh>
    <phoneticPr fontId="1"/>
  </si>
  <si>
    <t>ピーマン（黄・生）</t>
    <rPh sb="5" eb="6">
      <t>キ</t>
    </rPh>
    <rPh sb="7" eb="8">
      <t>ナマ</t>
    </rPh>
    <phoneticPr fontId="1"/>
  </si>
  <si>
    <t>ビール</t>
    <phoneticPr fontId="1"/>
  </si>
  <si>
    <t>ビール(黒)</t>
    <rPh sb="4" eb="5">
      <t>クロ</t>
    </rPh>
    <phoneticPr fontId="1"/>
  </si>
  <si>
    <t>ピザ(ピッツァ)474/1.96</t>
    <phoneticPr fontId="1"/>
  </si>
  <si>
    <t>ピザトースト242</t>
    <phoneticPr fontId="1"/>
  </si>
  <si>
    <t>ピザトースト574/2.37</t>
    <phoneticPr fontId="1"/>
  </si>
  <si>
    <t>ビスケット（ソフト）　</t>
    <phoneticPr fontId="1"/>
  </si>
  <si>
    <t>ビスケット（ハード）　</t>
    <phoneticPr fontId="1"/>
  </si>
  <si>
    <t>ビスケット361</t>
    <phoneticPr fontId="1"/>
  </si>
  <si>
    <t>日高昆布醤油72</t>
    <rPh sb="0" eb="2">
      <t>ヒダカ</t>
    </rPh>
    <rPh sb="2" eb="4">
      <t>コンブ</t>
    </rPh>
    <rPh sb="4" eb="6">
      <t>ショウユ</t>
    </rPh>
    <phoneticPr fontId="1"/>
  </si>
  <si>
    <t>冷やし中華つゆ140</t>
    <rPh sb="0" eb="1">
      <t>ヒ</t>
    </rPh>
    <rPh sb="3" eb="5">
      <t>チュウカ</t>
    </rPh>
    <phoneticPr fontId="1"/>
  </si>
  <si>
    <t>冷やし中華汁140</t>
    <rPh sb="0" eb="1">
      <t>ヒ</t>
    </rPh>
    <rPh sb="3" eb="5">
      <t>チュウカ</t>
    </rPh>
    <rPh sb="5" eb="6">
      <t>ツユ</t>
    </rPh>
    <phoneticPr fontId="1"/>
  </si>
  <si>
    <t>ヒラメ（天然・生）</t>
    <rPh sb="4" eb="6">
      <t>テンネン</t>
    </rPh>
    <rPh sb="7" eb="8">
      <t>ナマ</t>
    </rPh>
    <phoneticPr fontId="1"/>
  </si>
  <si>
    <t>ヒラメ（養殖・生）</t>
    <rPh sb="4" eb="6">
      <t>ヨウショク</t>
    </rPh>
    <rPh sb="7" eb="8">
      <t>ナマ</t>
    </rPh>
    <phoneticPr fontId="1"/>
  </si>
  <si>
    <t>ヒレカツ267/1.276</t>
    <phoneticPr fontId="1"/>
  </si>
  <si>
    <t>ふ（庄内ふ）</t>
    <rPh sb="2" eb="4">
      <t>ショウナイ</t>
    </rPh>
    <phoneticPr fontId="1"/>
  </si>
  <si>
    <t>ファンタグレープ45</t>
    <phoneticPr fontId="1"/>
  </si>
  <si>
    <t>ふき(生)</t>
    <rPh sb="3" eb="4">
      <t>ナマ</t>
    </rPh>
    <phoneticPr fontId="1"/>
  </si>
  <si>
    <t>ふき(ゆで)</t>
    <phoneticPr fontId="1"/>
  </si>
  <si>
    <t>ふきのとう(生)</t>
    <rPh sb="6" eb="7">
      <t>ナマ</t>
    </rPh>
    <phoneticPr fontId="1"/>
  </si>
  <si>
    <t>ふきのとう(ゆで)</t>
    <phoneticPr fontId="1"/>
  </si>
  <si>
    <t>ふぐ（生）</t>
    <rPh sb="3" eb="4">
      <t>ナマ</t>
    </rPh>
    <phoneticPr fontId="1"/>
  </si>
  <si>
    <t>福神漬</t>
    <rPh sb="0" eb="1">
      <t>フク</t>
    </rPh>
    <rPh sb="1" eb="2">
      <t>シン</t>
    </rPh>
    <rPh sb="2" eb="3">
      <t>ヅケ</t>
    </rPh>
    <phoneticPr fontId="1"/>
  </si>
  <si>
    <t>不二家ネクター159/3.5</t>
    <rPh sb="0" eb="3">
      <t>フジヤ</t>
    </rPh>
    <phoneticPr fontId="1"/>
  </si>
  <si>
    <t>豚肉（赤身生）</t>
    <rPh sb="0" eb="1">
      <t>ブタ</t>
    </rPh>
    <rPh sb="1" eb="2">
      <t>ニク</t>
    </rPh>
    <rPh sb="3" eb="5">
      <t>アカミ</t>
    </rPh>
    <rPh sb="5" eb="6">
      <t>ナマ</t>
    </rPh>
    <phoneticPr fontId="1"/>
  </si>
  <si>
    <r>
      <t>豚肉</t>
    </r>
    <r>
      <rPr>
        <b/>
        <sz val="9"/>
        <color theme="1"/>
        <rFont val="ＭＳ Ｐゴシック"/>
        <family val="3"/>
        <charset val="128"/>
        <scheme val="minor"/>
      </rPr>
      <t>（かた・脂肪付き・生）</t>
    </r>
    <rPh sb="0" eb="2">
      <t>ブタニク</t>
    </rPh>
    <rPh sb="6" eb="8">
      <t>シボウ</t>
    </rPh>
    <rPh sb="8" eb="9">
      <t>ツ</t>
    </rPh>
    <rPh sb="11" eb="12">
      <t>ナマ</t>
    </rPh>
    <phoneticPr fontId="1"/>
  </si>
  <si>
    <r>
      <t>豚肉</t>
    </r>
    <r>
      <rPr>
        <b/>
        <sz val="9"/>
        <color theme="1"/>
        <rFont val="ＭＳ Ｐゴシック"/>
        <family val="3"/>
        <charset val="128"/>
        <scheme val="minor"/>
      </rPr>
      <t>（かたロース・脂肪付き・生）</t>
    </r>
    <rPh sb="0" eb="2">
      <t>ブタニク</t>
    </rPh>
    <rPh sb="9" eb="11">
      <t>シボウ</t>
    </rPh>
    <rPh sb="11" eb="12">
      <t>ツ</t>
    </rPh>
    <rPh sb="14" eb="15">
      <t>ナマ</t>
    </rPh>
    <phoneticPr fontId="1"/>
  </si>
  <si>
    <t>豚肉（ばら肉）</t>
    <rPh sb="0" eb="1">
      <t>ブタ</t>
    </rPh>
    <rPh sb="1" eb="2">
      <t>ニク</t>
    </rPh>
    <rPh sb="5" eb="6">
      <t>ニク</t>
    </rPh>
    <phoneticPr fontId="1"/>
  </si>
  <si>
    <t>豚肉（もも脂身付・生）</t>
    <rPh sb="0" eb="1">
      <t>ブタ</t>
    </rPh>
    <rPh sb="1" eb="2">
      <t>ニク</t>
    </rPh>
    <rPh sb="5" eb="7">
      <t>アブラミ</t>
    </rPh>
    <rPh sb="7" eb="8">
      <t>ツキ</t>
    </rPh>
    <rPh sb="9" eb="10">
      <t>ナマ</t>
    </rPh>
    <phoneticPr fontId="1"/>
  </si>
  <si>
    <t>豚肉（ロース・焼き）</t>
    <rPh sb="0" eb="1">
      <t>ブタ</t>
    </rPh>
    <rPh sb="1" eb="2">
      <t>ニク</t>
    </rPh>
    <rPh sb="7" eb="8">
      <t>ヤ</t>
    </rPh>
    <phoneticPr fontId="1"/>
  </si>
  <si>
    <t>豚肉（ロース生）</t>
    <rPh sb="0" eb="1">
      <t>ブタ</t>
    </rPh>
    <rPh sb="1" eb="2">
      <t>ニク</t>
    </rPh>
    <rPh sb="6" eb="7">
      <t>ナマ</t>
    </rPh>
    <phoneticPr fontId="1"/>
  </si>
  <si>
    <t>豚の角煮</t>
    <rPh sb="0" eb="1">
      <t>ブタ</t>
    </rPh>
    <rPh sb="2" eb="3">
      <t>カク</t>
    </rPh>
    <rPh sb="3" eb="4">
      <t>ニ</t>
    </rPh>
    <phoneticPr fontId="1"/>
  </si>
  <si>
    <t>ぶどう（生）</t>
    <rPh sb="4" eb="5">
      <t>ナマ</t>
    </rPh>
    <phoneticPr fontId="1"/>
  </si>
  <si>
    <t>ぶどう（干し）</t>
    <rPh sb="4" eb="5">
      <t>ホ</t>
    </rPh>
    <phoneticPr fontId="1"/>
  </si>
  <si>
    <t>ぶどうパン</t>
    <phoneticPr fontId="1"/>
  </si>
  <si>
    <t>ブナシメジ（生）</t>
    <rPh sb="6" eb="7">
      <t>ナマ</t>
    </rPh>
    <phoneticPr fontId="1"/>
  </si>
  <si>
    <t>ブナシメジ（ゆで）</t>
    <phoneticPr fontId="1"/>
  </si>
  <si>
    <t>ふのり（素干し）</t>
    <rPh sb="4" eb="5">
      <t>ス</t>
    </rPh>
    <rPh sb="5" eb="6">
      <t>ボ</t>
    </rPh>
    <phoneticPr fontId="1"/>
  </si>
  <si>
    <t>ぶり(生)</t>
    <rPh sb="3" eb="4">
      <t>ナマ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</si>
  <si>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ふりかけ</t>
    </r>
    <r>
      <rPr>
        <b/>
        <sz val="6"/>
        <color theme="1"/>
        <rFont val="ＭＳ Ｐゴシック"/>
        <family val="3"/>
        <charset val="128"/>
        <scheme val="minor"/>
      </rPr>
      <t>(混ぜ込みわかめ・あさり)16/0.051</t>
    </r>
    <rPh sb="5" eb="6">
      <t>マ</t>
    </rPh>
    <rPh sb="7" eb="8">
      <t>コ</t>
    </rPh>
    <phoneticPr fontId="1"/>
  </si>
  <si>
    <t>ブルーベリー(生)</t>
    <rPh sb="7" eb="8">
      <t>ナマ</t>
    </rPh>
    <phoneticPr fontId="1"/>
  </si>
  <si>
    <t>ブルーベリー(冷凍)107/1.7</t>
    <rPh sb="7" eb="9">
      <t>レイトウ</t>
    </rPh>
    <phoneticPr fontId="1"/>
  </si>
  <si>
    <r>
      <t>ブルーベリー缶詰</t>
    </r>
    <r>
      <rPr>
        <b/>
        <sz val="6"/>
        <color theme="1"/>
        <rFont val="ＭＳ Ｐゴシック"/>
        <family val="3"/>
        <charset val="128"/>
        <scheme val="minor"/>
      </rPr>
      <t>56/0.8</t>
    </r>
    <rPh sb="6" eb="7">
      <t>カン</t>
    </rPh>
    <rPh sb="7" eb="8">
      <t>ヅメ</t>
    </rPh>
    <phoneticPr fontId="1"/>
  </si>
  <si>
    <t>プルーン</t>
    <phoneticPr fontId="1"/>
  </si>
  <si>
    <t>ブレンドパン476/1.32</t>
    <phoneticPr fontId="1"/>
  </si>
  <si>
    <t>ブロッコリー（生）</t>
    <rPh sb="7" eb="8">
      <t>ナマ</t>
    </rPh>
    <phoneticPr fontId="1"/>
  </si>
  <si>
    <t>ブロッコリー（ゆで）</t>
    <phoneticPr fontId="1"/>
  </si>
  <si>
    <t>ベーグル（パン）211</t>
    <phoneticPr fontId="1"/>
  </si>
  <si>
    <t>ベーコン</t>
    <phoneticPr fontId="1"/>
  </si>
  <si>
    <t>ベーコン69/0.31</t>
    <phoneticPr fontId="1"/>
  </si>
  <si>
    <t>ベーコン89/0.35</t>
    <phoneticPr fontId="1"/>
  </si>
  <si>
    <t>べに花油</t>
    <rPh sb="2" eb="3">
      <t>ハナ</t>
    </rPh>
    <rPh sb="3" eb="4">
      <t>ユ</t>
    </rPh>
    <phoneticPr fontId="1"/>
  </si>
  <si>
    <t>干いも（白雪）294</t>
    <rPh sb="0" eb="1">
      <t>ホ</t>
    </rPh>
    <rPh sb="4" eb="6">
      <t>シラユキ</t>
    </rPh>
    <phoneticPr fontId="1"/>
  </si>
  <si>
    <t>干いも（雪の華）256</t>
    <rPh sb="0" eb="1">
      <t>ホ</t>
    </rPh>
    <rPh sb="4" eb="5">
      <t>ユキ</t>
    </rPh>
    <rPh sb="6" eb="7">
      <t>ハナ</t>
    </rPh>
    <phoneticPr fontId="1"/>
  </si>
  <si>
    <t>ホーレンソウ(生)</t>
    <rPh sb="7" eb="8">
      <t>ナマ</t>
    </rPh>
    <phoneticPr fontId="1"/>
  </si>
  <si>
    <t>ホーレンソウ(ゆで)</t>
    <phoneticPr fontId="1"/>
  </si>
  <si>
    <t>干しイチジク20/0.07</t>
    <rPh sb="0" eb="1">
      <t>ホ</t>
    </rPh>
    <phoneticPr fontId="1"/>
  </si>
  <si>
    <t>干しいも(茨城)256</t>
    <rPh sb="0" eb="1">
      <t>ホ</t>
    </rPh>
    <rPh sb="5" eb="7">
      <t>イバラキ</t>
    </rPh>
    <phoneticPr fontId="1"/>
  </si>
  <si>
    <t>干しいも角切り290</t>
    <rPh sb="0" eb="1">
      <t>ホ</t>
    </rPh>
    <rPh sb="4" eb="6">
      <t>カクギ</t>
    </rPh>
    <phoneticPr fontId="1"/>
  </si>
  <si>
    <t>ホタテ（貝柱缶詰）</t>
    <rPh sb="4" eb="6">
      <t>カイバシラ</t>
    </rPh>
    <rPh sb="6" eb="8">
      <t>カンヅメ</t>
    </rPh>
    <phoneticPr fontId="1"/>
  </si>
  <si>
    <t>ホタテ（貝柱生）</t>
    <rPh sb="4" eb="6">
      <t>カイバシラ</t>
    </rPh>
    <rPh sb="6" eb="7">
      <t>ナマ</t>
    </rPh>
    <phoneticPr fontId="1"/>
  </si>
  <si>
    <t>ホタテ（貝柱煮干）</t>
    <rPh sb="4" eb="6">
      <t>カイバシラ</t>
    </rPh>
    <rPh sb="6" eb="8">
      <t>ニボ</t>
    </rPh>
    <phoneticPr fontId="1"/>
  </si>
  <si>
    <t>ホタテ（生）</t>
    <rPh sb="4" eb="5">
      <t>ナマ</t>
    </rPh>
    <phoneticPr fontId="1"/>
  </si>
  <si>
    <t>ホタテ（水煮）</t>
    <rPh sb="4" eb="6">
      <t>ミズニ</t>
    </rPh>
    <phoneticPr fontId="1"/>
  </si>
  <si>
    <t>ホタテ入りカマボコ65/0.65</t>
    <rPh sb="3" eb="4">
      <t>イ</t>
    </rPh>
    <phoneticPr fontId="1"/>
  </si>
  <si>
    <t>ぽたぽた焼き61/0.14</t>
    <rPh sb="4" eb="5">
      <t>ヤ</t>
    </rPh>
    <phoneticPr fontId="1"/>
  </si>
  <si>
    <t>ぼたもち(おはぎと同じ)</t>
    <rPh sb="9" eb="10">
      <t>オナ</t>
    </rPh>
    <phoneticPr fontId="1"/>
  </si>
  <si>
    <t>北海道吟醸味噌33/0.18</t>
    <rPh sb="0" eb="3">
      <t>ホッカイドウ</t>
    </rPh>
    <rPh sb="3" eb="5">
      <t>ギンジョウ</t>
    </rPh>
    <rPh sb="5" eb="7">
      <t>ミソ</t>
    </rPh>
    <phoneticPr fontId="1"/>
  </si>
  <si>
    <t>北海道味噌183</t>
    <rPh sb="0" eb="3">
      <t>ホッカイドウ</t>
    </rPh>
    <rPh sb="3" eb="5">
      <t>ミソ</t>
    </rPh>
    <phoneticPr fontId="1"/>
  </si>
  <si>
    <t>ホツキ貝（生）</t>
    <rPh sb="3" eb="4">
      <t>カイ</t>
    </rPh>
    <rPh sb="5" eb="6">
      <t>ナマ</t>
    </rPh>
    <phoneticPr fontId="1"/>
  </si>
  <si>
    <t>ほっけ（生）</t>
    <rPh sb="4" eb="5">
      <t>ナマ</t>
    </rPh>
    <phoneticPr fontId="1"/>
  </si>
  <si>
    <t>ホッケ開干</t>
    <rPh sb="3" eb="4">
      <t>ヒラキ</t>
    </rPh>
    <rPh sb="4" eb="5">
      <t>ホ</t>
    </rPh>
    <phoneticPr fontId="1"/>
  </si>
  <si>
    <t>ポテトサラダ122</t>
    <phoneticPr fontId="1"/>
  </si>
  <si>
    <r>
      <t>ポテトチップ</t>
    </r>
    <r>
      <rPr>
        <b/>
        <sz val="8"/>
        <color theme="1"/>
        <rFont val="ＭＳ Ｐゴシック"/>
        <family val="3"/>
        <charset val="128"/>
        <scheme val="minor"/>
      </rPr>
      <t>（チップスター）528</t>
    </r>
    <phoneticPr fontId="1"/>
  </si>
  <si>
    <t>ポテトチップス</t>
    <phoneticPr fontId="1"/>
  </si>
  <si>
    <t>ホヤ貝（生）</t>
    <rPh sb="2" eb="3">
      <t>カイ</t>
    </rPh>
    <rPh sb="4" eb="5">
      <t>ナマ</t>
    </rPh>
    <phoneticPr fontId="1"/>
  </si>
  <si>
    <t>ぽりコーン397</t>
    <phoneticPr fontId="1"/>
  </si>
  <si>
    <t>ポン酢10/0.15</t>
    <rPh sb="2" eb="3">
      <t>ズ</t>
    </rPh>
    <phoneticPr fontId="1"/>
  </si>
  <si>
    <t>マイタケ（生）</t>
    <rPh sb="5" eb="6">
      <t>ナマ</t>
    </rPh>
    <phoneticPr fontId="1"/>
  </si>
  <si>
    <t>マイタケ（ゆで）</t>
    <phoneticPr fontId="1"/>
  </si>
  <si>
    <t>マカロニ（乾）360</t>
    <rPh sb="5" eb="6">
      <t>カン</t>
    </rPh>
    <phoneticPr fontId="1"/>
  </si>
  <si>
    <t>巻き寿司（大巻）143</t>
    <rPh sb="0" eb="1">
      <t>マ</t>
    </rPh>
    <rPh sb="2" eb="4">
      <t>ズシ</t>
    </rPh>
    <rPh sb="5" eb="7">
      <t>オオマキ</t>
    </rPh>
    <phoneticPr fontId="1"/>
  </si>
  <si>
    <t>マグロ</t>
    <phoneticPr fontId="1"/>
  </si>
  <si>
    <t>マグロ(きはだ・生)</t>
    <rPh sb="8" eb="9">
      <t>ナマ</t>
    </rPh>
    <phoneticPr fontId="1"/>
  </si>
  <si>
    <t>マグロ(くろマグロ赤身・生)</t>
    <rPh sb="9" eb="10">
      <t>アカ</t>
    </rPh>
    <rPh sb="10" eb="11">
      <t>ミ</t>
    </rPh>
    <rPh sb="12" eb="13">
      <t>ナマ</t>
    </rPh>
    <phoneticPr fontId="1"/>
  </si>
  <si>
    <r>
      <t>マグロ(トロ</t>
    </r>
    <r>
      <rPr>
        <b/>
        <sz val="8"/>
        <color theme="1"/>
        <rFont val="ＭＳ Ｐゴシック"/>
        <family val="3"/>
        <charset val="128"/>
        <scheme val="minor"/>
      </rPr>
      <t>・くろマグロ脂身</t>
    </r>
    <r>
      <rPr>
        <sz val="11"/>
        <color theme="1"/>
        <rFont val="ＭＳ Ｐゴシック"/>
        <family val="3"/>
        <charset val="128"/>
        <scheme val="minor"/>
      </rPr>
      <t>)</t>
    </r>
    <rPh sb="12" eb="13">
      <t>アブラ</t>
    </rPh>
    <rPh sb="13" eb="14">
      <t>ミ</t>
    </rPh>
    <phoneticPr fontId="1"/>
  </si>
  <si>
    <t>マグロ(びん長・生)</t>
    <rPh sb="6" eb="7">
      <t>ナガ</t>
    </rPh>
    <rPh sb="8" eb="9">
      <t>ナマ</t>
    </rPh>
    <phoneticPr fontId="1"/>
  </si>
  <si>
    <t>マグロ(ミナミ・生）</t>
    <rPh sb="8" eb="9">
      <t>ナマ</t>
    </rPh>
    <phoneticPr fontId="1"/>
  </si>
  <si>
    <t>マグロ(メジ・生）</t>
    <rPh sb="7" eb="8">
      <t>ナマ</t>
    </rPh>
    <phoneticPr fontId="1"/>
  </si>
  <si>
    <t>マグロ(めばち・生）</t>
    <rPh sb="8" eb="9">
      <t>ナマ</t>
    </rPh>
    <phoneticPr fontId="1"/>
  </si>
  <si>
    <r>
      <t>マグロフレーク</t>
    </r>
    <r>
      <rPr>
        <sz val="6"/>
        <color theme="1"/>
        <rFont val="ＭＳ Ｐゴシック"/>
        <family val="3"/>
        <charset val="128"/>
        <scheme val="minor"/>
      </rPr>
      <t>味付95/0.8</t>
    </r>
    <rPh sb="7" eb="9">
      <t>アジツ</t>
    </rPh>
    <phoneticPr fontId="1"/>
  </si>
  <si>
    <t>松前漬94</t>
    <rPh sb="0" eb="2">
      <t>マツマエ</t>
    </rPh>
    <rPh sb="2" eb="3">
      <t>ヅケ</t>
    </rPh>
    <phoneticPr fontId="1"/>
  </si>
  <si>
    <t>マドレーヌ118/0.281</t>
    <phoneticPr fontId="1"/>
  </si>
  <si>
    <t>豆サラダ114/0.8</t>
    <rPh sb="0" eb="1">
      <t>マメ</t>
    </rPh>
    <phoneticPr fontId="1"/>
  </si>
  <si>
    <t>豆パン262/1.13</t>
    <rPh sb="0" eb="1">
      <t>マメ</t>
    </rPh>
    <phoneticPr fontId="1"/>
  </si>
  <si>
    <t>マヨネーズ（全卵型）</t>
    <rPh sb="6" eb="7">
      <t>ゼン</t>
    </rPh>
    <rPh sb="7" eb="8">
      <t>ラン</t>
    </rPh>
    <rPh sb="8" eb="9">
      <t>ガタ</t>
    </rPh>
    <phoneticPr fontId="1"/>
  </si>
  <si>
    <r>
      <t>マヨネーズ</t>
    </r>
    <r>
      <rPr>
        <b/>
        <sz val="6"/>
        <color theme="1"/>
        <rFont val="ＭＳ Ｐゴシック"/>
        <family val="3"/>
        <charset val="128"/>
        <scheme val="minor"/>
      </rPr>
      <t>(ピュアセレクト）110/0.15</t>
    </r>
    <phoneticPr fontId="1"/>
  </si>
  <si>
    <t>マルセイ(六花亭)165/0.34</t>
    <rPh sb="5" eb="6">
      <t>ロッ</t>
    </rPh>
    <rPh sb="6" eb="7">
      <t>ハナ</t>
    </rPh>
    <rPh sb="7" eb="8">
      <t>テイ</t>
    </rPh>
    <phoneticPr fontId="1"/>
  </si>
  <si>
    <t>饅頭（中華・あんまん）</t>
    <rPh sb="0" eb="2">
      <t>マンジュウ</t>
    </rPh>
    <rPh sb="3" eb="5">
      <t>チュウカ</t>
    </rPh>
    <phoneticPr fontId="1"/>
  </si>
  <si>
    <t>饅頭（蒸し・あんまん）</t>
    <rPh sb="0" eb="2">
      <t>マンジュウ</t>
    </rPh>
    <rPh sb="3" eb="4">
      <t>ム</t>
    </rPh>
    <phoneticPr fontId="1"/>
  </si>
  <si>
    <t>身欠きにしん</t>
    <rPh sb="0" eb="2">
      <t>ミガ</t>
    </rPh>
    <phoneticPr fontId="1"/>
  </si>
  <si>
    <t>みかん</t>
    <phoneticPr fontId="1"/>
  </si>
  <si>
    <t>みかんの缶詰64</t>
    <rPh sb="4" eb="6">
      <t>カンヅメ</t>
    </rPh>
    <phoneticPr fontId="1"/>
  </si>
  <si>
    <t>みず菜（きょうな）</t>
    <rPh sb="2" eb="3">
      <t>ナ</t>
    </rPh>
    <phoneticPr fontId="1"/>
  </si>
  <si>
    <t>水羊羹（とらや）166/0.7</t>
    <rPh sb="0" eb="1">
      <t>ミズ</t>
    </rPh>
    <rPh sb="1" eb="3">
      <t>ヨウカン</t>
    </rPh>
    <phoneticPr fontId="1"/>
  </si>
  <si>
    <t>味噌(一般)217</t>
    <rPh sb="0" eb="2">
      <t>ミソ</t>
    </rPh>
    <rPh sb="3" eb="5">
      <t>イッパン</t>
    </rPh>
    <phoneticPr fontId="1"/>
  </si>
  <si>
    <t>味噌（紅一点）</t>
    <rPh sb="0" eb="2">
      <t>ミソ</t>
    </rPh>
    <rPh sb="3" eb="6">
      <t>コウイッテン</t>
    </rPh>
    <phoneticPr fontId="1"/>
  </si>
  <si>
    <t>味噌（トモエ）195.3</t>
    <rPh sb="0" eb="2">
      <t>ミソ</t>
    </rPh>
    <phoneticPr fontId="1"/>
  </si>
  <si>
    <t>味噌(北海道・赤粒)</t>
    <rPh sb="0" eb="2">
      <t>ミソ</t>
    </rPh>
    <rPh sb="3" eb="6">
      <t>ホッカイドウ</t>
    </rPh>
    <rPh sb="7" eb="8">
      <t>アカ</t>
    </rPh>
    <rPh sb="8" eb="9">
      <t>ツブ</t>
    </rPh>
    <phoneticPr fontId="1"/>
  </si>
  <si>
    <r>
      <t>味噌</t>
    </r>
    <r>
      <rPr>
        <b/>
        <sz val="9"/>
        <color theme="1"/>
        <rFont val="ＭＳ Ｐゴシック"/>
        <family val="3"/>
        <charset val="128"/>
        <scheme val="minor"/>
      </rPr>
      <t>(北海道米味噌)</t>
    </r>
    <r>
      <rPr>
        <b/>
        <sz val="11"/>
        <color theme="1"/>
        <rFont val="ＭＳ Ｐゴシック"/>
        <family val="3"/>
        <charset val="128"/>
        <scheme val="minor"/>
      </rPr>
      <t>195</t>
    </r>
    <rPh sb="0" eb="2">
      <t>ミソ</t>
    </rPh>
    <rPh sb="3" eb="6">
      <t>ホッカイドウ</t>
    </rPh>
    <rPh sb="6" eb="7">
      <t>コメ</t>
    </rPh>
    <rPh sb="7" eb="9">
      <t>ミソ</t>
    </rPh>
    <phoneticPr fontId="1"/>
  </si>
  <si>
    <t>味噌（豆みそ）</t>
    <rPh sb="0" eb="2">
      <t>ミソ</t>
    </rPh>
    <rPh sb="3" eb="4">
      <t>マメ</t>
    </rPh>
    <phoneticPr fontId="1"/>
  </si>
  <si>
    <t>味噌(豆味噌・一般)217</t>
    <rPh sb="0" eb="2">
      <t>ミソ</t>
    </rPh>
    <rPh sb="3" eb="4">
      <t>マメ</t>
    </rPh>
    <rPh sb="4" eb="6">
      <t>ミソ</t>
    </rPh>
    <rPh sb="7" eb="9">
      <t>イッパン</t>
    </rPh>
    <phoneticPr fontId="1"/>
  </si>
  <si>
    <t>味噌（麦みそ）</t>
    <rPh sb="0" eb="2">
      <t>ミソ</t>
    </rPh>
    <rPh sb="3" eb="4">
      <t>ムギ</t>
    </rPh>
    <phoneticPr fontId="1"/>
  </si>
  <si>
    <t>味噌195.3</t>
    <rPh sb="0" eb="2">
      <t>ミソ</t>
    </rPh>
    <phoneticPr fontId="1"/>
  </si>
  <si>
    <r>
      <t>味噌汁</t>
    </r>
    <r>
      <rPr>
        <b/>
        <sz val="8"/>
        <color theme="1"/>
        <rFont val="ＭＳ Ｐゴシック"/>
        <family val="3"/>
        <charset val="128"/>
        <scheme val="minor"/>
      </rPr>
      <t>（わかめ・ねぎ）一般20/1.15</t>
    </r>
    <rPh sb="0" eb="3">
      <t>ミソシル</t>
    </rPh>
    <rPh sb="11" eb="13">
      <t>イッパン</t>
    </rPh>
    <phoneticPr fontId="1"/>
  </si>
  <si>
    <t>味噌パン239/0.7</t>
    <rPh sb="0" eb="2">
      <t>ミソ</t>
    </rPh>
    <phoneticPr fontId="1"/>
  </si>
  <si>
    <r>
      <t>味噌ラーメン</t>
    </r>
    <r>
      <rPr>
        <sz val="6"/>
        <color theme="1"/>
        <rFont val="ＭＳ Ｐゴシック"/>
        <family val="3"/>
        <charset val="128"/>
        <scheme val="minor"/>
      </rPr>
      <t>568/6.686</t>
    </r>
    <rPh sb="0" eb="2">
      <t>ミソ</t>
    </rPh>
    <phoneticPr fontId="1"/>
  </si>
  <si>
    <t>味噌ラーメンスープ225</t>
    <rPh sb="0" eb="2">
      <t>ミソ</t>
    </rPh>
    <phoneticPr fontId="1"/>
  </si>
  <si>
    <t>味噌ラーメンの素249/1.35</t>
    <rPh sb="0" eb="2">
      <t>ミソ</t>
    </rPh>
    <rPh sb="7" eb="8">
      <t>モト</t>
    </rPh>
    <phoneticPr fontId="1"/>
  </si>
  <si>
    <t>みつ葉(切りみつば・生)</t>
    <rPh sb="2" eb="3">
      <t>バ</t>
    </rPh>
    <rPh sb="4" eb="5">
      <t>キ</t>
    </rPh>
    <rPh sb="10" eb="11">
      <t>ナマ</t>
    </rPh>
    <phoneticPr fontId="1"/>
  </si>
  <si>
    <t>みつ葉(根みつば・生)</t>
    <rPh sb="2" eb="3">
      <t>バ</t>
    </rPh>
    <rPh sb="4" eb="5">
      <t>ネ</t>
    </rPh>
    <rPh sb="9" eb="10">
      <t>ナマ</t>
    </rPh>
    <phoneticPr fontId="1"/>
  </si>
  <si>
    <t>みょうが・花穂・生</t>
    <rPh sb="5" eb="6">
      <t>ハナ</t>
    </rPh>
    <rPh sb="6" eb="7">
      <t>ホ</t>
    </rPh>
    <rPh sb="8" eb="9">
      <t>ナマ</t>
    </rPh>
    <phoneticPr fontId="1"/>
  </si>
  <si>
    <r>
      <t>みりん</t>
    </r>
    <r>
      <rPr>
        <b/>
        <sz val="8"/>
        <color theme="1"/>
        <rFont val="ＭＳ Ｐゴシック"/>
        <family val="3"/>
        <charset val="128"/>
        <scheme val="minor"/>
      </rPr>
      <t>（タカラ・本みりん）42/0.15</t>
    </r>
    <rPh sb="8" eb="9">
      <t>ホン</t>
    </rPh>
    <phoneticPr fontId="1"/>
  </si>
  <si>
    <t>みりん（本みりん）</t>
    <rPh sb="4" eb="5">
      <t>ホン</t>
    </rPh>
    <phoneticPr fontId="1"/>
  </si>
  <si>
    <t>蒸しまんじゅう</t>
    <rPh sb="0" eb="1">
      <t>ム</t>
    </rPh>
    <phoneticPr fontId="1"/>
  </si>
  <si>
    <t>メロン（温室物）</t>
    <rPh sb="4" eb="6">
      <t>オンシツ</t>
    </rPh>
    <rPh sb="6" eb="7">
      <t>モノ</t>
    </rPh>
    <phoneticPr fontId="1"/>
  </si>
  <si>
    <t>メロン（露地物）</t>
    <rPh sb="4" eb="6">
      <t>ロジ</t>
    </rPh>
    <rPh sb="6" eb="7">
      <t>モノ</t>
    </rPh>
    <phoneticPr fontId="1"/>
  </si>
  <si>
    <t>メロンパン276/0.816</t>
    <phoneticPr fontId="1"/>
  </si>
  <si>
    <t>メロンパン338</t>
    <phoneticPr fontId="1"/>
  </si>
  <si>
    <t>メンチカツ196</t>
    <phoneticPr fontId="1"/>
  </si>
  <si>
    <t>めんつゆ88/2</t>
    <phoneticPr fontId="1"/>
  </si>
  <si>
    <t>メンマ（味付）</t>
    <rPh sb="4" eb="6">
      <t>アジツケ</t>
    </rPh>
    <phoneticPr fontId="1"/>
  </si>
  <si>
    <t>めんよう(もも)</t>
    <phoneticPr fontId="1"/>
  </si>
  <si>
    <t>めんよう(ロース)</t>
    <phoneticPr fontId="1"/>
  </si>
  <si>
    <t>もずく（味付け）16.1/0.7</t>
    <rPh sb="4" eb="6">
      <t>アジツ</t>
    </rPh>
    <phoneticPr fontId="1"/>
  </si>
  <si>
    <t>もち</t>
    <phoneticPr fontId="1"/>
  </si>
  <si>
    <t>もち（草もち）</t>
    <rPh sb="3" eb="4">
      <t>クサ</t>
    </rPh>
    <phoneticPr fontId="1"/>
  </si>
  <si>
    <t>もち（大福もち）</t>
    <rPh sb="3" eb="5">
      <t>ダイフク</t>
    </rPh>
    <phoneticPr fontId="1"/>
  </si>
  <si>
    <t>最中(一般)285</t>
    <rPh sb="0" eb="1">
      <t>モ</t>
    </rPh>
    <rPh sb="1" eb="2">
      <t>ナカ</t>
    </rPh>
    <rPh sb="3" eb="5">
      <t>イッパン</t>
    </rPh>
    <phoneticPr fontId="1"/>
  </si>
  <si>
    <t>最中（とらや）</t>
    <rPh sb="0" eb="1">
      <t>モ</t>
    </rPh>
    <rPh sb="1" eb="2">
      <t>ナカ</t>
    </rPh>
    <phoneticPr fontId="1"/>
  </si>
  <si>
    <t>もも（生）</t>
    <rPh sb="3" eb="4">
      <t>ナマ</t>
    </rPh>
    <phoneticPr fontId="1"/>
  </si>
  <si>
    <t>もやし（黒豆）15</t>
    <rPh sb="4" eb="6">
      <t>クロマメ</t>
    </rPh>
    <phoneticPr fontId="1"/>
  </si>
  <si>
    <t>もやし（大豆・生）</t>
    <rPh sb="4" eb="6">
      <t>ダイズ</t>
    </rPh>
    <rPh sb="7" eb="8">
      <t>ナマ</t>
    </rPh>
    <phoneticPr fontId="1"/>
  </si>
  <si>
    <t>もやし（大豆・ゆで）</t>
    <rPh sb="4" eb="6">
      <t>ダイズ</t>
    </rPh>
    <phoneticPr fontId="1"/>
  </si>
  <si>
    <t>モンブラン425/1.186</t>
    <phoneticPr fontId="1"/>
  </si>
  <si>
    <t>焼きえび豆501.6/1.1</t>
    <rPh sb="0" eb="1">
      <t>ヤ</t>
    </rPh>
    <rPh sb="4" eb="5">
      <t>マメ</t>
    </rPh>
    <phoneticPr fontId="1"/>
  </si>
  <si>
    <t>焼きそば167</t>
    <rPh sb="0" eb="1">
      <t>ヤ</t>
    </rPh>
    <phoneticPr fontId="1"/>
  </si>
  <si>
    <r>
      <t>焼きそば食材</t>
    </r>
    <r>
      <rPr>
        <b/>
        <sz val="6"/>
        <color theme="1"/>
        <rFont val="ＭＳ Ｐゴシック"/>
        <family val="3"/>
        <charset val="128"/>
        <scheme val="minor"/>
      </rPr>
      <t>マルちゃん281/1.6</t>
    </r>
    <rPh sb="0" eb="1">
      <t>ヤ</t>
    </rPh>
    <rPh sb="4" eb="6">
      <t>ショクザイ</t>
    </rPh>
    <phoneticPr fontId="1"/>
  </si>
  <si>
    <t>焼き肉のたれ(一般的)</t>
    <rPh sb="0" eb="1">
      <t>ヤ</t>
    </rPh>
    <rPh sb="2" eb="3">
      <t>ニク</t>
    </rPh>
    <rPh sb="7" eb="10">
      <t>イッパンテキ</t>
    </rPh>
    <phoneticPr fontId="1"/>
  </si>
  <si>
    <t>焼きのり188</t>
    <rPh sb="0" eb="1">
      <t>ヤ</t>
    </rPh>
    <phoneticPr fontId="1"/>
  </si>
  <si>
    <t>焼きノリ5.1/0.027</t>
    <rPh sb="0" eb="1">
      <t>ヤ</t>
    </rPh>
    <phoneticPr fontId="1"/>
  </si>
  <si>
    <t>ヤマメ（川魚・生）</t>
    <rPh sb="4" eb="5">
      <t>カワ</t>
    </rPh>
    <rPh sb="5" eb="6">
      <t>サカナ</t>
    </rPh>
    <rPh sb="7" eb="8">
      <t>ナマ</t>
    </rPh>
    <phoneticPr fontId="1"/>
  </si>
  <si>
    <t>ヤリいか(生)</t>
    <rPh sb="5" eb="6">
      <t>ナマ</t>
    </rPh>
    <phoneticPr fontId="1"/>
  </si>
  <si>
    <t>ゆであずき190</t>
    <phoneticPr fontId="1"/>
  </si>
  <si>
    <t>ゆであずき427/1.9</t>
    <phoneticPr fontId="1"/>
  </si>
  <si>
    <t>ゆでとうきび・保存食</t>
    <rPh sb="7" eb="10">
      <t>ホゾンショク</t>
    </rPh>
    <phoneticPr fontId="1"/>
  </si>
  <si>
    <t>ゆべし(和菓子)</t>
    <rPh sb="4" eb="7">
      <t>ワガシ</t>
    </rPh>
    <phoneticPr fontId="1"/>
  </si>
  <si>
    <t>ゆり根（生 ）</t>
    <rPh sb="2" eb="3">
      <t>ネ</t>
    </rPh>
    <rPh sb="4" eb="5">
      <t>ナマ</t>
    </rPh>
    <phoneticPr fontId="1"/>
  </si>
  <si>
    <t>ゆり根（ゆで）</t>
    <rPh sb="2" eb="3">
      <t>ネ</t>
    </rPh>
    <phoneticPr fontId="1"/>
  </si>
  <si>
    <r>
      <t>ようかん</t>
    </r>
    <r>
      <rPr>
        <sz val="8"/>
        <color theme="1"/>
        <rFont val="ＭＳ Ｐゴシック"/>
        <family val="3"/>
        <charset val="128"/>
        <scheme val="minor"/>
      </rPr>
      <t>(練りようん)</t>
    </r>
    <rPh sb="5" eb="6">
      <t>ネ</t>
    </rPh>
    <phoneticPr fontId="1"/>
  </si>
  <si>
    <r>
      <t>ようかん</t>
    </r>
    <r>
      <rPr>
        <sz val="8"/>
        <color theme="1"/>
        <rFont val="ＭＳ Ｐゴシック"/>
        <family val="3"/>
        <charset val="128"/>
        <scheme val="minor"/>
      </rPr>
      <t>(水ようかん)</t>
    </r>
    <rPh sb="5" eb="6">
      <t>ミズ</t>
    </rPh>
    <phoneticPr fontId="1"/>
  </si>
  <si>
    <t>洋種なばな（生）</t>
    <rPh sb="0" eb="2">
      <t>ヨウシュ</t>
    </rPh>
    <rPh sb="6" eb="7">
      <t>ナマ</t>
    </rPh>
    <phoneticPr fontId="1"/>
  </si>
  <si>
    <t>洋種なばな（茹で）</t>
    <rPh sb="0" eb="2">
      <t>ヨウシュ</t>
    </rPh>
    <rPh sb="6" eb="7">
      <t>ユ</t>
    </rPh>
    <phoneticPr fontId="1"/>
  </si>
  <si>
    <r>
      <t>ヨーグルト</t>
    </r>
    <r>
      <rPr>
        <b/>
        <sz val="8"/>
        <color theme="1"/>
        <rFont val="ＭＳ Ｐゴシック"/>
        <family val="3"/>
        <charset val="128"/>
        <scheme val="minor"/>
      </rPr>
      <t>牧場の朝64/0.7</t>
    </r>
    <rPh sb="5" eb="7">
      <t>マキバ</t>
    </rPh>
    <rPh sb="8" eb="9">
      <t>アサ</t>
    </rPh>
    <phoneticPr fontId="1"/>
  </si>
  <si>
    <t>ヨーグルト恵（脂肪0）43</t>
    <rPh sb="5" eb="6">
      <t>メグ</t>
    </rPh>
    <rPh sb="7" eb="9">
      <t>シボウ</t>
    </rPh>
    <phoneticPr fontId="1"/>
  </si>
  <si>
    <t>ヨーグルト恵63</t>
    <rPh sb="5" eb="6">
      <t>メグミ</t>
    </rPh>
    <phoneticPr fontId="1"/>
  </si>
  <si>
    <t>よもぎ大福</t>
    <rPh sb="3" eb="5">
      <t>ダイフク</t>
    </rPh>
    <phoneticPr fontId="1"/>
  </si>
  <si>
    <t>ラーメン(札幌生287/1.1)</t>
    <rPh sb="5" eb="7">
      <t>サッポロ</t>
    </rPh>
    <rPh sb="7" eb="8">
      <t>ナマ</t>
    </rPh>
    <phoneticPr fontId="1"/>
  </si>
  <si>
    <t>ラーメン（生）289/1.1</t>
    <rPh sb="5" eb="6">
      <t>ナマ</t>
    </rPh>
    <phoneticPr fontId="1"/>
  </si>
  <si>
    <t>ラーメンスープ（醤油）の素63/0.29</t>
    <rPh sb="8" eb="10">
      <t>ショウユ</t>
    </rPh>
    <rPh sb="12" eb="13">
      <t>モト</t>
    </rPh>
    <phoneticPr fontId="1"/>
  </si>
  <si>
    <t>ラーメンスープ（味噌）の素</t>
    <rPh sb="8" eb="10">
      <t>ミソ</t>
    </rPh>
    <rPh sb="12" eb="13">
      <t>モト</t>
    </rPh>
    <phoneticPr fontId="1"/>
  </si>
  <si>
    <t>ラーメン麺（生）261</t>
    <rPh sb="4" eb="5">
      <t>メン</t>
    </rPh>
    <rPh sb="6" eb="7">
      <t>ナマ</t>
    </rPh>
    <phoneticPr fontId="1"/>
  </si>
  <si>
    <t>ライチー(果物)</t>
    <rPh sb="5" eb="7">
      <t>クダモノ</t>
    </rPh>
    <phoneticPr fontId="1"/>
  </si>
  <si>
    <t>落雁（ラクガン）389</t>
    <rPh sb="0" eb="2">
      <t>ラクガン</t>
    </rPh>
    <phoneticPr fontId="1"/>
  </si>
  <si>
    <t>楽笑栗195</t>
    <rPh sb="0" eb="1">
      <t>ラク</t>
    </rPh>
    <rPh sb="1" eb="2">
      <t>ショウ</t>
    </rPh>
    <rPh sb="2" eb="3">
      <t>クリ</t>
    </rPh>
    <phoneticPr fontId="1"/>
  </si>
  <si>
    <t>落花生（乾・ピーナッツ）</t>
    <rPh sb="0" eb="3">
      <t>ラッカセイ</t>
    </rPh>
    <rPh sb="4" eb="5">
      <t>イヌイ</t>
    </rPh>
    <phoneticPr fontId="1"/>
  </si>
  <si>
    <t>落花生（いり・ピーナッツ）</t>
    <rPh sb="0" eb="3">
      <t>ラッカセイ</t>
    </rPh>
    <phoneticPr fontId="1"/>
  </si>
  <si>
    <t>らっきょ（甘酢漬）</t>
    <rPh sb="5" eb="6">
      <t>アマ</t>
    </rPh>
    <rPh sb="6" eb="7">
      <t>ス</t>
    </rPh>
    <rPh sb="7" eb="8">
      <t>ツケ</t>
    </rPh>
    <phoneticPr fontId="1"/>
  </si>
  <si>
    <t>りんご</t>
    <phoneticPr fontId="1"/>
  </si>
  <si>
    <t>レーズンかりんとう441</t>
    <phoneticPr fontId="1"/>
  </si>
  <si>
    <t>レタス</t>
    <phoneticPr fontId="1"/>
  </si>
  <si>
    <t>レンコン(生)</t>
    <rPh sb="5" eb="6">
      <t>ナマ</t>
    </rPh>
    <phoneticPr fontId="1"/>
  </si>
  <si>
    <t>レンコン(ゆで)</t>
    <phoneticPr fontId="1"/>
  </si>
  <si>
    <r>
      <t>ロースハム</t>
    </r>
    <r>
      <rPr>
        <b/>
        <sz val="6"/>
        <color theme="1"/>
        <rFont val="ＭＳ Ｐゴシック"/>
        <family val="3"/>
        <charset val="128"/>
        <scheme val="minor"/>
      </rPr>
      <t>(スライス)</t>
    </r>
    <r>
      <rPr>
        <b/>
        <sz val="8"/>
        <color theme="1"/>
        <rFont val="ＭＳ Ｐゴシック"/>
        <family val="3"/>
        <charset val="128"/>
        <scheme val="minor"/>
      </rPr>
      <t>35/0.36</t>
    </r>
    <phoneticPr fontId="1"/>
  </si>
  <si>
    <r>
      <t>ロースハム</t>
    </r>
    <r>
      <rPr>
        <b/>
        <sz val="6"/>
        <color theme="1"/>
        <rFont val="ＭＳ Ｐゴシック"/>
        <family val="3"/>
        <charset val="128"/>
        <scheme val="minor"/>
      </rPr>
      <t>(スライス)</t>
    </r>
    <r>
      <rPr>
        <b/>
        <sz val="8"/>
        <color theme="1"/>
        <rFont val="ＭＳ Ｐゴシック"/>
        <family val="3"/>
        <charset val="128"/>
        <scheme val="minor"/>
      </rPr>
      <t>39/0.38</t>
    </r>
    <phoneticPr fontId="1"/>
  </si>
  <si>
    <t>ロールケーキ263</t>
    <phoneticPr fontId="1"/>
  </si>
  <si>
    <t>わかめ味噌汁(わかめ・ネギ一般)20/1.15</t>
    <rPh sb="3" eb="6">
      <t>ミソシル</t>
    </rPh>
    <rPh sb="13" eb="15">
      <t>イッパン</t>
    </rPh>
    <phoneticPr fontId="1"/>
  </si>
  <si>
    <t>わさび(練り)365</t>
    <rPh sb="4" eb="5">
      <t>ネ</t>
    </rPh>
    <phoneticPr fontId="1"/>
  </si>
  <si>
    <t>ワラビ(生)</t>
    <rPh sb="4" eb="5">
      <t>ナマ</t>
    </rPh>
    <phoneticPr fontId="1"/>
  </si>
  <si>
    <t>ワラビ(ゆで)</t>
    <phoneticPr fontId="1"/>
  </si>
  <si>
    <t>ラーメンスープ（塩）の素56/0.29</t>
    <rPh sb="8" eb="9">
      <t>シオ</t>
    </rPh>
    <rPh sb="11" eb="12">
      <t>モト</t>
    </rPh>
    <phoneticPr fontId="1"/>
  </si>
  <si>
    <t>さんまみそ煮351/1.5</t>
    <rPh sb="5" eb="6">
      <t>ニ</t>
    </rPh>
    <phoneticPr fontId="1"/>
  </si>
  <si>
    <t>交換表</t>
    <rPh sb="0" eb="2">
      <t>コウカン</t>
    </rPh>
    <rPh sb="2" eb="3">
      <t>ヒョウ</t>
    </rPh>
    <phoneticPr fontId="1"/>
  </si>
  <si>
    <t>調味料</t>
    <rPh sb="0" eb="3">
      <t>チョウミリョウ</t>
    </rPh>
    <phoneticPr fontId="1"/>
  </si>
  <si>
    <t>し好食品</t>
    <rPh sb="1" eb="2">
      <t>コウ</t>
    </rPh>
    <rPh sb="2" eb="4">
      <t>ショクヒン</t>
    </rPh>
    <phoneticPr fontId="1"/>
  </si>
  <si>
    <t>調理加工品</t>
    <rPh sb="0" eb="2">
      <t>チョウリ</t>
    </rPh>
    <rPh sb="2" eb="5">
      <t>カコウヒン</t>
    </rPh>
    <phoneticPr fontId="1"/>
  </si>
  <si>
    <t>調味料</t>
  </si>
  <si>
    <t>し好食品</t>
  </si>
  <si>
    <t>まぐろ(刺身・中トロ)328</t>
    <rPh sb="4" eb="6">
      <t>サシミ</t>
    </rPh>
    <rPh sb="7" eb="8">
      <t>チュウ</t>
    </rPh>
    <phoneticPr fontId="1"/>
  </si>
  <si>
    <t>外食料理</t>
  </si>
  <si>
    <t>外食料理</t>
    <rPh sb="0" eb="2">
      <t>ガイショク</t>
    </rPh>
    <rPh sb="2" eb="4">
      <t>リョウリ</t>
    </rPh>
    <phoneticPr fontId="1"/>
  </si>
  <si>
    <t>調理加工品</t>
  </si>
  <si>
    <t>Kcal</t>
    <phoneticPr fontId="1"/>
  </si>
  <si>
    <t>蛋白質ｇ</t>
    <rPh sb="0" eb="3">
      <t>タンパクシツ</t>
    </rPh>
    <phoneticPr fontId="1"/>
  </si>
  <si>
    <t>計</t>
    <rPh sb="0" eb="1">
      <t>ケイ</t>
    </rPh>
    <phoneticPr fontId="1"/>
  </si>
  <si>
    <t>出来上り</t>
    <rPh sb="0" eb="3">
      <t>デキアガ</t>
    </rPh>
    <phoneticPr fontId="1"/>
  </si>
  <si>
    <t>炭水化物ｇ</t>
    <rPh sb="0" eb="2">
      <t>タンスイ</t>
    </rPh>
    <rPh sb="2" eb="4">
      <t>バケモノ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</si>
  <si>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</si>
  <si>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</si>
  <si>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</si>
  <si>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年/月/日</t>
    <rPh sb="0" eb="1">
      <t>ネン</t>
    </rPh>
    <rPh sb="2" eb="3">
      <t>ツキ</t>
    </rPh>
    <rPh sb="4" eb="5">
      <t>ニチ</t>
    </rPh>
    <phoneticPr fontId="1"/>
  </si>
  <si>
    <t>曜</t>
    <rPh sb="0" eb="1">
      <t>ヒカリ</t>
    </rPh>
    <phoneticPr fontId="1"/>
  </si>
  <si>
    <t>血糖値</t>
    <rPh sb="0" eb="3">
      <t>ケットウチ</t>
    </rPh>
    <phoneticPr fontId="1"/>
  </si>
  <si>
    <t>金</t>
  </si>
  <si>
    <t>土</t>
  </si>
  <si>
    <t>上限</t>
    <rPh sb="0" eb="2">
      <t>ジョウゲン</t>
    </rPh>
    <phoneticPr fontId="1"/>
  </si>
  <si>
    <t>日</t>
  </si>
  <si>
    <t>目安量</t>
    <rPh sb="0" eb="2">
      <t>メヤス</t>
    </rPh>
    <rPh sb="2" eb="3">
      <t>リョウ</t>
    </rPh>
    <phoneticPr fontId="1"/>
  </si>
  <si>
    <t>月</t>
  </si>
  <si>
    <t>下限</t>
    <rPh sb="0" eb="2">
      <t>カゲン</t>
    </rPh>
    <phoneticPr fontId="1"/>
  </si>
  <si>
    <t>火</t>
  </si>
  <si>
    <t>水</t>
  </si>
  <si>
    <t>木</t>
  </si>
  <si>
    <t>推奨量</t>
    <rPh sb="0" eb="2">
      <t>スイショウ</t>
    </rPh>
    <rPh sb="2" eb="3">
      <t>リョウ</t>
    </rPh>
    <phoneticPr fontId="1"/>
  </si>
  <si>
    <t>平均</t>
    <rPh sb="0" eb="2">
      <t>ヘイキン</t>
    </rPh>
    <phoneticPr fontId="1"/>
  </si>
  <si>
    <t>合計</t>
    <rPh sb="0" eb="2">
      <t>ゴウケイ</t>
    </rPh>
    <phoneticPr fontId="1"/>
  </si>
  <si>
    <t>ハム(ボンレス・もも)60/0.53</t>
    <phoneticPr fontId="1"/>
  </si>
  <si>
    <t>コロッケ(かぼちゃ)</t>
    <phoneticPr fontId="1"/>
  </si>
  <si>
    <t>さば(開き干)</t>
    <rPh sb="3" eb="4">
      <t>ヒラ</t>
    </rPh>
    <rPh sb="5" eb="6">
      <t>ボ</t>
    </rPh>
    <phoneticPr fontId="1"/>
  </si>
  <si>
    <t>牛肉（ひき肉）</t>
    <rPh sb="0" eb="1">
      <t>ギュウ</t>
    </rPh>
    <rPh sb="1" eb="2">
      <t>ニク</t>
    </rPh>
    <rPh sb="5" eb="6">
      <t>ニク</t>
    </rPh>
    <phoneticPr fontId="1"/>
  </si>
  <si>
    <t>パン粉</t>
    <rPh sb="2" eb="3">
      <t>コ</t>
    </rPh>
    <phoneticPr fontId="1"/>
  </si>
  <si>
    <t>ポテトコロッケ(推定)</t>
  </si>
  <si>
    <t>鶏ひき肉</t>
    <rPh sb="0" eb="1">
      <t>トリ</t>
    </rPh>
    <rPh sb="3" eb="4">
      <t>ニク</t>
    </rPh>
    <phoneticPr fontId="1"/>
  </si>
  <si>
    <t>牛乳138/2.06</t>
    <rPh sb="0" eb="2">
      <t>ギュウニュウ</t>
    </rPh>
    <phoneticPr fontId="1"/>
  </si>
  <si>
    <t>薄力粉368</t>
    <rPh sb="0" eb="3">
      <t>ハクリキコ</t>
    </rPh>
    <phoneticPr fontId="1"/>
  </si>
  <si>
    <t>小麦粉（強力粉）366</t>
    <rPh sb="0" eb="3">
      <t>コムギコ</t>
    </rPh>
    <rPh sb="4" eb="7">
      <t>キョウリキコ</t>
    </rPh>
    <phoneticPr fontId="1"/>
  </si>
  <si>
    <t>小麦粉（薄力粉）368</t>
    <rPh sb="0" eb="3">
      <t>コムギコ</t>
    </rPh>
    <rPh sb="4" eb="7">
      <t>ハクリキコ</t>
    </rPh>
    <phoneticPr fontId="1"/>
  </si>
  <si>
    <t>ドライイースト</t>
    <phoneticPr fontId="1"/>
  </si>
  <si>
    <t>牛乳(普通牛乳)67</t>
    <rPh sb="0" eb="2">
      <t>ギュウニュウ</t>
    </rPh>
    <rPh sb="3" eb="5">
      <t>フツウ</t>
    </rPh>
    <rPh sb="5" eb="7">
      <t>ギュウニュウ</t>
    </rPh>
    <phoneticPr fontId="1"/>
  </si>
  <si>
    <t>ベーコン(スライス)77/0.38</t>
    <phoneticPr fontId="1"/>
  </si>
  <si>
    <t>しょうがせんべい383</t>
    <phoneticPr fontId="1"/>
  </si>
  <si>
    <t>そば(更科・なま)284</t>
    <rPh sb="3" eb="5">
      <t>サラシナ</t>
    </rPh>
    <phoneticPr fontId="1"/>
  </si>
  <si>
    <t>豆きんとき(インゲン豆)</t>
    <rPh sb="0" eb="1">
      <t>マメ</t>
    </rPh>
    <rPh sb="10" eb="11">
      <t>マメ</t>
    </rPh>
    <phoneticPr fontId="1"/>
  </si>
  <si>
    <t>ベーキングパウダー(膨らし粉)</t>
    <rPh sb="10" eb="11">
      <t>フク</t>
    </rPh>
    <rPh sb="13" eb="14">
      <t>コ</t>
    </rPh>
    <phoneticPr fontId="1"/>
  </si>
  <si>
    <t>みりん</t>
    <phoneticPr fontId="1"/>
  </si>
  <si>
    <t>蜂蜜</t>
    <rPh sb="0" eb="2">
      <t>ハチミツ</t>
    </rPh>
    <phoneticPr fontId="1"/>
  </si>
  <si>
    <t>つぶしあん</t>
    <phoneticPr fontId="1"/>
  </si>
  <si>
    <t>からふとマス水煮137/0.9</t>
    <rPh sb="6" eb="8">
      <t>ミズニ</t>
    </rPh>
    <phoneticPr fontId="1"/>
  </si>
  <si>
    <t>メープルくるみ681</t>
    <phoneticPr fontId="1"/>
  </si>
  <si>
    <t>唐辛子(粉)</t>
    <rPh sb="0" eb="3">
      <t>トウガラシ</t>
    </rPh>
    <rPh sb="4" eb="5">
      <t>コナ</t>
    </rPh>
    <phoneticPr fontId="1"/>
  </si>
  <si>
    <t>スパゲティ(パスター)149</t>
    <phoneticPr fontId="1"/>
  </si>
  <si>
    <t>マッシュルーム(きのこ)</t>
    <phoneticPr fontId="1"/>
  </si>
  <si>
    <t>白コショウ378</t>
    <rPh sb="0" eb="1">
      <t>シロ</t>
    </rPh>
    <phoneticPr fontId="1"/>
  </si>
  <si>
    <t>ケチャップ119</t>
    <phoneticPr fontId="1"/>
  </si>
  <si>
    <t>パルメザシ(チーズ)475</t>
    <phoneticPr fontId="1"/>
  </si>
  <si>
    <t>豚肉（ひき肉）</t>
    <rPh sb="0" eb="1">
      <t>ブタ</t>
    </rPh>
    <rPh sb="1" eb="2">
      <t>ニク</t>
    </rPh>
    <rPh sb="5" eb="6">
      <t>ニク</t>
    </rPh>
    <phoneticPr fontId="1"/>
  </si>
  <si>
    <t>バター(有塩)745</t>
    <rPh sb="4" eb="5">
      <t>ユウ</t>
    </rPh>
    <rPh sb="5" eb="6">
      <t>エン</t>
    </rPh>
    <phoneticPr fontId="1"/>
  </si>
  <si>
    <t>ソース(中濃)132</t>
    <rPh sb="4" eb="6">
      <t>チュウノウ</t>
    </rPh>
    <phoneticPr fontId="1"/>
  </si>
  <si>
    <t>コンソメ(固形)</t>
    <rPh sb="5" eb="7">
      <t>コケイ</t>
    </rPh>
    <phoneticPr fontId="1"/>
  </si>
  <si>
    <t>にんにく(りん茎・生)</t>
    <rPh sb="7" eb="8">
      <t>ケイ</t>
    </rPh>
    <rPh sb="9" eb="10">
      <t>ナマ</t>
    </rPh>
    <phoneticPr fontId="1"/>
  </si>
  <si>
    <t>パセリ(葉・生)</t>
    <rPh sb="4" eb="5">
      <t>ハ</t>
    </rPh>
    <rPh sb="6" eb="7">
      <t>ナマ</t>
    </rPh>
    <phoneticPr fontId="1"/>
  </si>
  <si>
    <t>白ワイン</t>
    <rPh sb="0" eb="1">
      <t>シロ</t>
    </rPh>
    <phoneticPr fontId="1"/>
  </si>
  <si>
    <t>トマトソース44</t>
    <phoneticPr fontId="1"/>
  </si>
  <si>
    <t>オリーブオイル921</t>
    <phoneticPr fontId="1"/>
  </si>
  <si>
    <t>乾燥パセリ341</t>
    <rPh sb="0" eb="2">
      <t>カンソウ</t>
    </rPh>
    <phoneticPr fontId="1"/>
  </si>
  <si>
    <t>ホイップクリーム422</t>
    <phoneticPr fontId="1"/>
  </si>
  <si>
    <t>卵黄生</t>
    <rPh sb="0" eb="2">
      <t>ランオウ</t>
    </rPh>
    <rPh sb="2" eb="3">
      <t>ナマ</t>
    </rPh>
    <phoneticPr fontId="1"/>
  </si>
  <si>
    <t>卵白生</t>
    <rPh sb="0" eb="2">
      <t>ランパク</t>
    </rPh>
    <rPh sb="2" eb="3">
      <t>ナマ</t>
    </rPh>
    <phoneticPr fontId="1"/>
  </si>
  <si>
    <t>バター(無塩)763</t>
    <rPh sb="4" eb="5">
      <t>ム</t>
    </rPh>
    <rPh sb="5" eb="6">
      <t>エン</t>
    </rPh>
    <phoneticPr fontId="1"/>
  </si>
  <si>
    <t>～2～</t>
    <phoneticPr fontId="1"/>
  </si>
  <si>
    <t>～1～</t>
    <phoneticPr fontId="1"/>
  </si>
  <si>
    <t>生あげ316/2.00</t>
    <rPh sb="0" eb="1">
      <t>ナマ</t>
    </rPh>
    <phoneticPr fontId="1"/>
  </si>
  <si>
    <t>よもぎ(生)</t>
    <rPh sb="4" eb="5">
      <t>ナマ</t>
    </rPh>
    <phoneticPr fontId="1"/>
  </si>
  <si>
    <t>よもぎ(ゆで)</t>
    <phoneticPr fontId="1"/>
  </si>
  <si>
    <t>上新粉</t>
    <rPh sb="0" eb="3">
      <t>ジョウシンコ</t>
    </rPh>
    <phoneticPr fontId="1"/>
  </si>
  <si>
    <t>むき甘栗181</t>
    <rPh sb="2" eb="4">
      <t>アマグリ</t>
    </rPh>
    <phoneticPr fontId="1"/>
  </si>
  <si>
    <t>サーモン・刺身139</t>
    <rPh sb="5" eb="7">
      <t>サシミ</t>
    </rPh>
    <phoneticPr fontId="1"/>
  </si>
  <si>
    <t>キングサーモン200</t>
    <phoneticPr fontId="1"/>
  </si>
  <si>
    <t>カニ風味カマボコ42/0.52</t>
    <rPh sb="2" eb="4">
      <t>フウミ</t>
    </rPh>
    <phoneticPr fontId="1"/>
  </si>
  <si>
    <t>ラム肉(ジンギスカン用)</t>
    <rPh sb="2" eb="3">
      <t>ニク</t>
    </rPh>
    <rPh sb="10" eb="11">
      <t>ヨウ</t>
    </rPh>
    <phoneticPr fontId="1"/>
  </si>
  <si>
    <t>オロシ生姜43</t>
    <rPh sb="3" eb="5">
      <t>ショウガ</t>
    </rPh>
    <phoneticPr fontId="1"/>
  </si>
  <si>
    <t>オロシにんにく171</t>
    <phoneticPr fontId="1"/>
  </si>
  <si>
    <t>ごま油921</t>
    <rPh sb="2" eb="3">
      <t>ユ</t>
    </rPh>
    <phoneticPr fontId="1"/>
  </si>
  <si>
    <t>アイスクリーム(110ml)244/0.97</t>
    <phoneticPr fontId="1"/>
  </si>
  <si>
    <t>卵焼き(一般的)206</t>
    <rPh sb="0" eb="1">
      <t>タマゴ</t>
    </rPh>
    <rPh sb="1" eb="2">
      <t>ヤ</t>
    </rPh>
    <rPh sb="4" eb="7">
      <t>イッパンテキ</t>
    </rPh>
    <phoneticPr fontId="1"/>
  </si>
  <si>
    <t>カツオだし汁3</t>
    <rPh sb="5" eb="6">
      <t>ジル</t>
    </rPh>
    <phoneticPr fontId="1"/>
  </si>
  <si>
    <t>昆布だし汁4</t>
    <rPh sb="0" eb="2">
      <t>コンブ</t>
    </rPh>
    <rPh sb="4" eb="5">
      <t>ジル</t>
    </rPh>
    <phoneticPr fontId="1"/>
  </si>
  <si>
    <t>さんま(味付・缶詰)323/1.5</t>
    <rPh sb="4" eb="6">
      <t>アジツケ</t>
    </rPh>
    <rPh sb="7" eb="9">
      <t>カンヅメ</t>
    </rPh>
    <phoneticPr fontId="1"/>
  </si>
  <si>
    <t>アーモンド670</t>
    <phoneticPr fontId="1"/>
  </si>
  <si>
    <t>味噌汁B</t>
    <rPh sb="0" eb="3">
      <t>ミソシル</t>
    </rPh>
    <phoneticPr fontId="1"/>
  </si>
  <si>
    <t>お粥A</t>
    <rPh sb="1" eb="2">
      <t>カユ</t>
    </rPh>
    <phoneticPr fontId="1"/>
  </si>
  <si>
    <t>お粥B</t>
    <rPh sb="1" eb="2">
      <t>カユ</t>
    </rPh>
    <phoneticPr fontId="1"/>
  </si>
  <si>
    <t>味噌汁A</t>
    <rPh sb="0" eb="3">
      <t>ミソシル</t>
    </rPh>
    <phoneticPr fontId="1"/>
  </si>
  <si>
    <r>
      <t>セブーレ</t>
    </r>
    <r>
      <rPr>
        <b/>
        <sz val="6"/>
        <color theme="1"/>
        <rFont val="ＭＳ Ｐゴシック"/>
        <family val="3"/>
        <charset val="128"/>
        <scheme val="minor"/>
      </rPr>
      <t>(バタークッキー)</t>
    </r>
    <r>
      <rPr>
        <sz val="11"/>
        <color theme="1"/>
        <rFont val="ＭＳ Ｐゴシック"/>
        <family val="3"/>
        <charset val="128"/>
        <scheme val="minor"/>
      </rPr>
      <t>41/0.077</t>
    </r>
    <phoneticPr fontId="1"/>
  </si>
  <si>
    <t>豚骨ラーメンスープ15</t>
    <rPh sb="0" eb="2">
      <t>トンコツ</t>
    </rPh>
    <phoneticPr fontId="1"/>
  </si>
  <si>
    <t>白味噌192</t>
    <rPh sb="0" eb="1">
      <t>シロ</t>
    </rPh>
    <rPh sb="1" eb="3">
      <t>ミソ</t>
    </rPh>
    <phoneticPr fontId="1"/>
  </si>
  <si>
    <r>
      <t>リンゴジュース</t>
    </r>
    <r>
      <rPr>
        <b/>
        <sz val="6"/>
        <color theme="1"/>
        <rFont val="ＭＳ Ｐゴシック"/>
        <family val="3"/>
        <charset val="128"/>
        <scheme val="minor"/>
      </rPr>
      <t>(ストレート)</t>
    </r>
    <phoneticPr fontId="1"/>
  </si>
  <si>
    <r>
      <t>納豆</t>
    </r>
    <r>
      <rPr>
        <b/>
        <sz val="6"/>
        <color theme="1"/>
        <rFont val="ＭＳ Ｐゴシック"/>
        <family val="3"/>
        <charset val="128"/>
        <scheme val="minor"/>
      </rPr>
      <t>(ひきわり・おかめ)</t>
    </r>
    <r>
      <rPr>
        <sz val="11"/>
        <color theme="1"/>
        <rFont val="ＭＳ Ｐゴシック"/>
        <family val="3"/>
        <charset val="128"/>
        <scheme val="minor"/>
      </rPr>
      <t>91/0.45</t>
    </r>
    <rPh sb="0" eb="2">
      <t>ナットウ</t>
    </rPh>
    <phoneticPr fontId="1"/>
  </si>
  <si>
    <t>鮭筍(缶詰)129/0.9</t>
    <rPh sb="0" eb="1">
      <t>サケ</t>
    </rPh>
    <rPh sb="1" eb="2">
      <t>タケノコ</t>
    </rPh>
    <rPh sb="3" eb="5">
      <t>カンヅメ</t>
    </rPh>
    <phoneticPr fontId="1"/>
  </si>
  <si>
    <t>水あめ328</t>
    <rPh sb="0" eb="1">
      <t>ミズ</t>
    </rPh>
    <phoneticPr fontId="1"/>
  </si>
  <si>
    <t>ラーメン(西山・生)355/1.4</t>
    <rPh sb="5" eb="7">
      <t>ニシヤマ</t>
    </rPh>
    <rPh sb="8" eb="9">
      <t>ナマ</t>
    </rPh>
    <phoneticPr fontId="1"/>
  </si>
  <si>
    <t>ピーナツ(素煎り)190/0.3</t>
    <rPh sb="5" eb="6">
      <t>ス</t>
    </rPh>
    <rPh sb="6" eb="7">
      <t>イ</t>
    </rPh>
    <phoneticPr fontId="1"/>
  </si>
  <si>
    <t>スパゲッティ(乾麺)</t>
    <rPh sb="7" eb="9">
      <t>カンメン</t>
    </rPh>
    <phoneticPr fontId="1"/>
  </si>
  <si>
    <t>讃岐うどん・乾335</t>
    <rPh sb="0" eb="2">
      <t>サヌキ</t>
    </rPh>
    <rPh sb="6" eb="7">
      <t>カン</t>
    </rPh>
    <phoneticPr fontId="1"/>
  </si>
  <si>
    <t>ブルーベリー(冷凍)94/1.5</t>
    <rPh sb="7" eb="9">
      <t>レイトウ</t>
    </rPh>
    <phoneticPr fontId="1"/>
  </si>
  <si>
    <r>
      <t>そば</t>
    </r>
    <r>
      <rPr>
        <b/>
        <sz val="9"/>
        <color theme="1"/>
        <rFont val="ＭＳ Ｐゴシック"/>
        <family val="3"/>
        <charset val="128"/>
        <scheme val="minor"/>
      </rPr>
      <t>（干そば・奈良屋）・干し348</t>
    </r>
    <rPh sb="3" eb="4">
      <t>ホ</t>
    </rPh>
    <rPh sb="7" eb="9">
      <t>ナラ</t>
    </rPh>
    <rPh sb="9" eb="10">
      <t>ヤ</t>
    </rPh>
    <rPh sb="12" eb="13">
      <t>ホ</t>
    </rPh>
    <phoneticPr fontId="1"/>
  </si>
  <si>
    <t>リンゴジュース48</t>
    <phoneticPr fontId="1"/>
  </si>
  <si>
    <t>真イワシ生姜煮246</t>
    <rPh sb="0" eb="1">
      <t>マ</t>
    </rPh>
    <rPh sb="4" eb="6">
      <t>ショウガ</t>
    </rPh>
    <rPh sb="6" eb="7">
      <t>ニ</t>
    </rPh>
    <phoneticPr fontId="1"/>
  </si>
  <si>
    <t>ふ154/0.4</t>
    <phoneticPr fontId="1"/>
  </si>
  <si>
    <t>がんもどき174</t>
    <phoneticPr fontId="1"/>
  </si>
  <si>
    <t>いか(ソフト)燻製156/0.65</t>
    <rPh sb="7" eb="9">
      <t>クンセイ</t>
    </rPh>
    <phoneticPr fontId="1"/>
  </si>
  <si>
    <t>くず桜(和菓子)125/0.46</t>
    <rPh sb="2" eb="3">
      <t>サクラ</t>
    </rPh>
    <rPh sb="4" eb="7">
      <t>ワガシ</t>
    </rPh>
    <phoneticPr fontId="1"/>
  </si>
  <si>
    <t>栗(焼き栗)181</t>
    <rPh sb="0" eb="1">
      <t>クリ</t>
    </rPh>
    <rPh sb="2" eb="3">
      <t>ヤ</t>
    </rPh>
    <rPh sb="4" eb="5">
      <t>グリ</t>
    </rPh>
    <phoneticPr fontId="1"/>
  </si>
  <si>
    <t>さば水煮160/0.8</t>
    <rPh sb="2" eb="4">
      <t>ミズニ</t>
    </rPh>
    <phoneticPr fontId="1"/>
  </si>
  <si>
    <t>サケ(シロサケ・塩ざけ)</t>
    <rPh sb="8" eb="9">
      <t>シオ</t>
    </rPh>
    <phoneticPr fontId="1"/>
  </si>
  <si>
    <t>さば(まさば)水煮253</t>
    <rPh sb="7" eb="9">
      <t>ミズニ</t>
    </rPh>
    <phoneticPr fontId="1"/>
  </si>
  <si>
    <t>さば(大西洋さば)生</t>
    <rPh sb="3" eb="6">
      <t>タイセイヨウ</t>
    </rPh>
    <rPh sb="9" eb="10">
      <t>ナマ</t>
    </rPh>
    <phoneticPr fontId="1"/>
  </si>
  <si>
    <t>さば(大西洋さば)水煮</t>
    <rPh sb="3" eb="6">
      <t>タイセイヨウ</t>
    </rPh>
    <rPh sb="9" eb="11">
      <t>ミズニ</t>
    </rPh>
    <phoneticPr fontId="1"/>
  </si>
  <si>
    <t>今川焼（お焼）222</t>
    <rPh sb="0" eb="2">
      <t>イマガワ</t>
    </rPh>
    <rPh sb="2" eb="3">
      <t>ヤキ</t>
    </rPh>
    <rPh sb="5" eb="6">
      <t>ヤキ</t>
    </rPh>
    <phoneticPr fontId="1"/>
  </si>
  <si>
    <t>クッキー(ミルク)34/0.064</t>
    <phoneticPr fontId="1"/>
  </si>
  <si>
    <t>鮭筍(缶詰)181/1.4</t>
    <rPh sb="0" eb="1">
      <t>サケ</t>
    </rPh>
    <rPh sb="1" eb="2">
      <t>タケノコ</t>
    </rPh>
    <rPh sb="3" eb="4">
      <t>カン</t>
    </rPh>
    <rPh sb="4" eb="5">
      <t>ツ</t>
    </rPh>
    <phoneticPr fontId="1"/>
  </si>
  <si>
    <t>よいとまけ菓子・推定</t>
    <rPh sb="5" eb="7">
      <t>カシ</t>
    </rPh>
    <rPh sb="8" eb="10">
      <t>スイテイ</t>
    </rPh>
    <phoneticPr fontId="1"/>
  </si>
  <si>
    <t>花かつお(カツオ節)350</t>
    <rPh sb="0" eb="1">
      <t>ハナ</t>
    </rPh>
    <rPh sb="8" eb="9">
      <t>ブシ</t>
    </rPh>
    <phoneticPr fontId="1"/>
  </si>
  <si>
    <r>
      <t>ソーメン</t>
    </r>
    <r>
      <rPr>
        <b/>
        <sz val="8"/>
        <color theme="1"/>
        <rFont val="ＭＳ Ｐゴシック"/>
        <family val="3"/>
        <charset val="128"/>
        <scheme val="minor"/>
      </rPr>
      <t>(揖保の糸・乾麺)332のゆで</t>
    </r>
    <rPh sb="5" eb="7">
      <t>イボ</t>
    </rPh>
    <rPh sb="8" eb="9">
      <t>イト</t>
    </rPh>
    <rPh sb="10" eb="12">
      <t>カンメン</t>
    </rPh>
    <phoneticPr fontId="1"/>
  </si>
  <si>
    <t>いか(するめいか)焼き</t>
    <rPh sb="9" eb="10">
      <t>ヤ</t>
    </rPh>
    <phoneticPr fontId="1"/>
  </si>
  <si>
    <r>
      <t>とうきび</t>
    </r>
    <r>
      <rPr>
        <b/>
        <sz val="6"/>
        <color theme="1"/>
        <rFont val="ＭＳ Ｐゴシック"/>
        <family val="3"/>
        <charset val="128"/>
        <scheme val="minor"/>
      </rPr>
      <t>（スイートコン）ゆで・市販推定</t>
    </r>
    <rPh sb="15" eb="17">
      <t>シハン</t>
    </rPh>
    <rPh sb="17" eb="19">
      <t>スイテイ</t>
    </rPh>
    <phoneticPr fontId="1"/>
  </si>
  <si>
    <t>油あげ(コーポ)291</t>
    <rPh sb="0" eb="1">
      <t>アブラ</t>
    </rPh>
    <phoneticPr fontId="1"/>
  </si>
  <si>
    <t>ネクタリン(生)</t>
    <rPh sb="6" eb="7">
      <t>ナマ</t>
    </rPh>
    <phoneticPr fontId="1"/>
  </si>
  <si>
    <t>ワッサー(生)</t>
    <rPh sb="5" eb="6">
      <t>ナマ</t>
    </rPh>
    <phoneticPr fontId="1"/>
  </si>
  <si>
    <t>醤油(歯舞)14/0.15</t>
    <rPh sb="0" eb="2">
      <t>ショウユ</t>
    </rPh>
    <rPh sb="3" eb="5">
      <t>ハボマイ</t>
    </rPh>
    <phoneticPr fontId="1"/>
  </si>
  <si>
    <t>さつま揚げ210</t>
    <rPh sb="3" eb="4">
      <t>ア</t>
    </rPh>
    <phoneticPr fontId="1"/>
  </si>
  <si>
    <t>さつま揚げ139</t>
    <rPh sb="3" eb="4">
      <t>ア</t>
    </rPh>
    <phoneticPr fontId="1"/>
  </si>
  <si>
    <t>さつま揚げ101/0.45</t>
    <rPh sb="3" eb="4">
      <t>ア</t>
    </rPh>
    <phoneticPr fontId="1"/>
  </si>
  <si>
    <t>桃山(和菓子)118/0.4</t>
    <rPh sb="0" eb="2">
      <t>モモヤマ</t>
    </rPh>
    <rPh sb="3" eb="6">
      <t>ワガシ</t>
    </rPh>
    <phoneticPr fontId="1"/>
  </si>
  <si>
    <t>吉野葛入りうどん(乾麺)</t>
    <rPh sb="0" eb="2">
      <t>ヨシノ</t>
    </rPh>
    <rPh sb="2" eb="3">
      <t>クズ</t>
    </rPh>
    <rPh sb="3" eb="4">
      <t>イ</t>
    </rPh>
    <rPh sb="9" eb="11">
      <t>カンメン</t>
    </rPh>
    <phoneticPr fontId="1"/>
  </si>
  <si>
    <r>
      <t>吉野</t>
    </r>
    <r>
      <rPr>
        <b/>
        <sz val="6"/>
        <color theme="1"/>
        <rFont val="ＭＳ Ｐゴシック"/>
        <family val="3"/>
        <charset val="128"/>
        <scheme val="minor"/>
      </rPr>
      <t>葛入り</t>
    </r>
    <r>
      <rPr>
        <sz val="11"/>
        <color theme="1"/>
        <rFont val="ＭＳ Ｐゴシック"/>
        <family val="3"/>
        <charset val="128"/>
        <scheme val="minor"/>
      </rPr>
      <t>うどん(ゆで麺)推定</t>
    </r>
    <rPh sb="0" eb="2">
      <t>ヨシノ</t>
    </rPh>
    <rPh sb="2" eb="3">
      <t>クズ</t>
    </rPh>
    <rPh sb="3" eb="4">
      <t>イ</t>
    </rPh>
    <rPh sb="11" eb="12">
      <t>メン</t>
    </rPh>
    <rPh sb="13" eb="15">
      <t>スイテイ</t>
    </rPh>
    <phoneticPr fontId="1"/>
  </si>
  <si>
    <t>ハム(もも)55/0.48</t>
    <phoneticPr fontId="1"/>
  </si>
  <si>
    <t>栗まんじゅう124/0.4</t>
    <rPh sb="0" eb="1">
      <t>クリ</t>
    </rPh>
    <phoneticPr fontId="1"/>
  </si>
  <si>
    <t>ロースハム82/0.54</t>
    <phoneticPr fontId="1"/>
  </si>
  <si>
    <t>すりごま(白)34/0.05</t>
    <rPh sb="5" eb="6">
      <t>シロ</t>
    </rPh>
    <phoneticPr fontId="1"/>
  </si>
  <si>
    <t>ボンレスハム60/0.5</t>
    <phoneticPr fontId="1"/>
  </si>
  <si>
    <t>ハム(特級もも)50/0.38</t>
    <rPh sb="3" eb="4">
      <t>トク</t>
    </rPh>
    <rPh sb="4" eb="5">
      <t>キュウ</t>
    </rPh>
    <phoneticPr fontId="1"/>
  </si>
  <si>
    <t>さけ水煮(缶詰)137/0.9</t>
    <rPh sb="2" eb="4">
      <t>ミズニ</t>
    </rPh>
    <rPh sb="5" eb="7">
      <t>カンヅメ</t>
    </rPh>
    <phoneticPr fontId="1"/>
  </si>
  <si>
    <t>巨峰味・ゼリー332</t>
    <rPh sb="0" eb="2">
      <t>キョホウ</t>
    </rPh>
    <rPh sb="2" eb="3">
      <t>アジ</t>
    </rPh>
    <phoneticPr fontId="1"/>
  </si>
  <si>
    <t>ずんだ餅203</t>
    <rPh sb="3" eb="4">
      <t>モチ</t>
    </rPh>
    <phoneticPr fontId="1"/>
  </si>
  <si>
    <t>めばり寿司144</t>
    <rPh sb="3" eb="5">
      <t>スシ</t>
    </rPh>
    <phoneticPr fontId="1"/>
  </si>
  <si>
    <t>柿の葉寿司158</t>
    <rPh sb="0" eb="1">
      <t>カキ</t>
    </rPh>
    <rPh sb="2" eb="3">
      <t>ハ</t>
    </rPh>
    <rPh sb="3" eb="5">
      <t>スシ</t>
    </rPh>
    <phoneticPr fontId="1"/>
  </si>
  <si>
    <t>そば（幌加内・なま）285</t>
    <rPh sb="3" eb="6">
      <t>ホロカナイ</t>
    </rPh>
    <phoneticPr fontId="1"/>
  </si>
  <si>
    <t>プルーン（ドライ加工）</t>
    <rPh sb="8" eb="10">
      <t>カコウ</t>
    </rPh>
    <phoneticPr fontId="1"/>
  </si>
  <si>
    <t>リンゴ（ドライフルーツ）315</t>
    <phoneticPr fontId="1"/>
  </si>
  <si>
    <t>メープルカシュー569</t>
    <phoneticPr fontId="1"/>
  </si>
  <si>
    <t>天ぷら粉344</t>
    <rPh sb="0" eb="1">
      <t>テン</t>
    </rPh>
    <rPh sb="3" eb="4">
      <t>コ</t>
    </rPh>
    <phoneticPr fontId="1"/>
  </si>
  <si>
    <t>唐辛子(生)</t>
    <rPh sb="0" eb="3">
      <t>トウガラシ</t>
    </rPh>
    <rPh sb="4" eb="5">
      <t>ナマ</t>
    </rPh>
    <phoneticPr fontId="1"/>
  </si>
  <si>
    <t>メープルくるみ632</t>
    <phoneticPr fontId="1"/>
  </si>
  <si>
    <t>甘酒81</t>
    <rPh sb="0" eb="2">
      <t>アマザケ</t>
    </rPh>
    <phoneticPr fontId="1"/>
  </si>
  <si>
    <t>もやし（緑豆）14</t>
    <rPh sb="4" eb="5">
      <t>リョク</t>
    </rPh>
    <rPh sb="5" eb="6">
      <t>マメ</t>
    </rPh>
    <phoneticPr fontId="1"/>
  </si>
  <si>
    <t>もやし（緑豆）18</t>
    <rPh sb="4" eb="5">
      <t>リョク</t>
    </rPh>
    <rPh sb="5" eb="6">
      <t>マメ</t>
    </rPh>
    <phoneticPr fontId="1"/>
  </si>
  <si>
    <t>コーヒー（雪印）97/2</t>
    <rPh sb="5" eb="7">
      <t>ユキジルシ</t>
    </rPh>
    <phoneticPr fontId="1"/>
  </si>
  <si>
    <t>栗まんじゅう309</t>
    <rPh sb="0" eb="1">
      <t>クリ</t>
    </rPh>
    <phoneticPr fontId="1"/>
  </si>
  <si>
    <t>うどん（コープ・ゆで）204/1.8</t>
    <phoneticPr fontId="1"/>
  </si>
  <si>
    <t>紅生姜18</t>
    <rPh sb="0" eb="1">
      <t>ベニ</t>
    </rPh>
    <rPh sb="1" eb="3">
      <t>ショウガ</t>
    </rPh>
    <phoneticPr fontId="1"/>
  </si>
  <si>
    <t>カレールウ（こくまろ）89/0.175</t>
    <phoneticPr fontId="1"/>
  </si>
  <si>
    <t>でこポンゼリー82</t>
    <phoneticPr fontId="1"/>
  </si>
  <si>
    <t>レーズンくるみパン301</t>
    <phoneticPr fontId="1"/>
  </si>
  <si>
    <t>蒸し・鶏ササミ</t>
    <rPh sb="0" eb="1">
      <t>ム</t>
    </rPh>
    <rPh sb="3" eb="4">
      <t>トリ</t>
    </rPh>
    <phoneticPr fontId="1"/>
  </si>
  <si>
    <t>ハム（ホワイトロース）107</t>
    <phoneticPr fontId="1"/>
  </si>
  <si>
    <t>コーンクリーム（粉末）76/0.176</t>
    <rPh sb="8" eb="10">
      <t>フンマツ</t>
    </rPh>
    <phoneticPr fontId="1"/>
  </si>
  <si>
    <t>天ぷら粉355</t>
    <rPh sb="0" eb="1">
      <t>テン</t>
    </rPh>
    <rPh sb="3" eb="4">
      <t>コ</t>
    </rPh>
    <phoneticPr fontId="1"/>
  </si>
  <si>
    <t>真イワシ（生）</t>
    <rPh sb="0" eb="1">
      <t>マ</t>
    </rPh>
    <rPh sb="5" eb="6">
      <t>ナマ</t>
    </rPh>
    <phoneticPr fontId="1"/>
  </si>
  <si>
    <t>干しいも（白雪）294</t>
    <rPh sb="0" eb="1">
      <t>ホ</t>
    </rPh>
    <rPh sb="5" eb="7">
      <t>シラユキ</t>
    </rPh>
    <phoneticPr fontId="1"/>
  </si>
  <si>
    <t>寒天3</t>
    <rPh sb="0" eb="2">
      <t>カンテン</t>
    </rPh>
    <phoneticPr fontId="1"/>
  </si>
  <si>
    <t>寒天0/0.075</t>
    <rPh sb="0" eb="2">
      <t>カンテン</t>
    </rPh>
    <phoneticPr fontId="1"/>
  </si>
  <si>
    <t>そば（ゆで・菊水）230/1.8</t>
    <rPh sb="6" eb="8">
      <t>キクスイ</t>
    </rPh>
    <phoneticPr fontId="1"/>
  </si>
  <si>
    <t>ソース（中濃・ブルドック）23/0.18</t>
    <rPh sb="4" eb="6">
      <t>チュウノウ</t>
    </rPh>
    <phoneticPr fontId="1"/>
  </si>
  <si>
    <t>スパゲティ（乾麺・ママ）358</t>
    <rPh sb="6" eb="8">
      <t>カンメン</t>
    </rPh>
    <phoneticPr fontId="1"/>
  </si>
  <si>
    <t>ひじき（ほしひじき）</t>
    <phoneticPr fontId="1"/>
  </si>
  <si>
    <r>
      <t>サケ</t>
    </r>
    <r>
      <rPr>
        <b/>
        <sz val="8"/>
        <color theme="1"/>
        <rFont val="ＭＳ Ｐゴシック"/>
        <family val="3"/>
        <charset val="128"/>
        <scheme val="minor"/>
      </rPr>
      <t>（サーモントラウト）焼き　推定</t>
    </r>
    <rPh sb="12" eb="13">
      <t>ヤ</t>
    </rPh>
    <rPh sb="15" eb="17">
      <t>スイテイ</t>
    </rPh>
    <phoneticPr fontId="1"/>
  </si>
  <si>
    <r>
      <t>サケ</t>
    </r>
    <r>
      <rPr>
        <b/>
        <sz val="6"/>
        <color theme="1"/>
        <rFont val="ＭＳ Ｐゴシック"/>
        <family val="3"/>
        <charset val="128"/>
        <scheme val="minor"/>
      </rPr>
      <t>（サーモントラウト・塩サケ）</t>
    </r>
    <r>
      <rPr>
        <b/>
        <sz val="8"/>
        <color theme="1"/>
        <rFont val="ＭＳ Ｐゴシック"/>
        <family val="3"/>
        <charset val="128"/>
        <scheme val="minor"/>
      </rPr>
      <t>焼き　推定</t>
    </r>
    <rPh sb="12" eb="13">
      <t>シオ</t>
    </rPh>
    <rPh sb="16" eb="17">
      <t>ヤ</t>
    </rPh>
    <rPh sb="19" eb="21">
      <t>スイテイ</t>
    </rPh>
    <phoneticPr fontId="1"/>
  </si>
  <si>
    <t>干しいも（いも作）303</t>
    <rPh sb="0" eb="1">
      <t>ホ</t>
    </rPh>
    <rPh sb="7" eb="8">
      <t>サク</t>
    </rPh>
    <phoneticPr fontId="1"/>
  </si>
  <si>
    <t>豚バラ肉・焼き</t>
    <rPh sb="0" eb="1">
      <t>ブタ</t>
    </rPh>
    <rPh sb="3" eb="4">
      <t>ニク</t>
    </rPh>
    <rPh sb="5" eb="6">
      <t>ヤ</t>
    </rPh>
    <phoneticPr fontId="1"/>
  </si>
  <si>
    <t>だし汁(昆布)</t>
    <rPh sb="2" eb="3">
      <t>ジル</t>
    </rPh>
    <rPh sb="4" eb="6">
      <t>コンブ</t>
    </rPh>
    <phoneticPr fontId="1"/>
  </si>
  <si>
    <t>だし汁(カツオ・昆布)</t>
    <rPh sb="2" eb="3">
      <t>ジル</t>
    </rPh>
    <rPh sb="8" eb="10">
      <t>コンブ</t>
    </rPh>
    <phoneticPr fontId="1"/>
  </si>
  <si>
    <r>
      <t>みりん</t>
    </r>
    <r>
      <rPr>
        <b/>
        <sz val="8"/>
        <color theme="1"/>
        <rFont val="ＭＳ Ｐゴシック"/>
        <family val="3"/>
        <charset val="128"/>
        <scheme val="minor"/>
      </rPr>
      <t>（タカラ・本みりん）40/0.15</t>
    </r>
    <rPh sb="8" eb="9">
      <t>ホン</t>
    </rPh>
    <phoneticPr fontId="1"/>
  </si>
  <si>
    <t>だし汁(カツオ)</t>
    <rPh sb="2" eb="3">
      <t>ジル</t>
    </rPh>
    <phoneticPr fontId="1"/>
  </si>
  <si>
    <t>だし汁(煮干し)</t>
    <rPh sb="2" eb="3">
      <t>ジル</t>
    </rPh>
    <rPh sb="4" eb="6">
      <t>ニボ</t>
    </rPh>
    <phoneticPr fontId="1"/>
  </si>
  <si>
    <t>紫芋チップ487</t>
    <rPh sb="0" eb="1">
      <t>ムラサキ</t>
    </rPh>
    <rPh sb="1" eb="2">
      <t>イモ</t>
    </rPh>
    <phoneticPr fontId="1"/>
  </si>
  <si>
    <t>マカロン377</t>
    <phoneticPr fontId="1"/>
  </si>
  <si>
    <t>ロースハム(スライス)98</t>
    <phoneticPr fontId="1"/>
  </si>
  <si>
    <t>干しいも（紅天使）303</t>
    <rPh sb="0" eb="1">
      <t>ホ</t>
    </rPh>
    <rPh sb="5" eb="6">
      <t>ベニ</t>
    </rPh>
    <rPh sb="6" eb="8">
      <t>テンシ</t>
    </rPh>
    <phoneticPr fontId="1"/>
  </si>
  <si>
    <t>わかめ</t>
    <phoneticPr fontId="1"/>
  </si>
  <si>
    <t>ささげ豆(全粒・乾)</t>
    <rPh sb="3" eb="4">
      <t>マメ</t>
    </rPh>
    <rPh sb="5" eb="6">
      <t>ゼン</t>
    </rPh>
    <rPh sb="6" eb="7">
      <t>ツブ</t>
    </rPh>
    <rPh sb="8" eb="9">
      <t>イヌイ</t>
    </rPh>
    <phoneticPr fontId="1"/>
  </si>
  <si>
    <t>ささげ豆(全粒・ゆで)</t>
    <rPh sb="3" eb="4">
      <t>マメ</t>
    </rPh>
    <rPh sb="5" eb="6">
      <t>ゼン</t>
    </rPh>
    <rPh sb="6" eb="7">
      <t>ツブ</t>
    </rPh>
    <phoneticPr fontId="1"/>
  </si>
  <si>
    <t>カンパチ(生)</t>
    <rPh sb="5" eb="6">
      <t>ナマ</t>
    </rPh>
    <phoneticPr fontId="1"/>
  </si>
  <si>
    <t>スパゲティ(ペスカトーレ)127</t>
    <phoneticPr fontId="1"/>
  </si>
  <si>
    <t>ちらし寿司160</t>
    <rPh sb="3" eb="5">
      <t>ズシ</t>
    </rPh>
    <phoneticPr fontId="1"/>
  </si>
  <si>
    <t>ステーキ211</t>
    <phoneticPr fontId="1"/>
  </si>
  <si>
    <t>マツタケ</t>
    <phoneticPr fontId="1"/>
  </si>
  <si>
    <t>梅干(調味)96</t>
    <rPh sb="0" eb="2">
      <t>ウメボ</t>
    </rPh>
    <rPh sb="3" eb="5">
      <t>チョウミ</t>
    </rPh>
    <phoneticPr fontId="1"/>
  </si>
  <si>
    <t>煮豆(金時)121/0.65</t>
    <rPh sb="0" eb="2">
      <t>ニマメ</t>
    </rPh>
    <rPh sb="3" eb="5">
      <t>キントキ</t>
    </rPh>
    <phoneticPr fontId="1"/>
  </si>
  <si>
    <t>くるみパン319</t>
    <phoneticPr fontId="1"/>
  </si>
  <si>
    <t>焼きイカ84</t>
    <rPh sb="0" eb="1">
      <t>ヤ</t>
    </rPh>
    <phoneticPr fontId="1"/>
  </si>
  <si>
    <t>ドライフルーツ(くるみ)697</t>
    <phoneticPr fontId="1"/>
  </si>
  <si>
    <t>ドライフルーツ(レーズン)337</t>
    <phoneticPr fontId="1"/>
  </si>
  <si>
    <t>干しいも294</t>
    <rPh sb="0" eb="1">
      <t>ホ</t>
    </rPh>
    <phoneticPr fontId="1"/>
  </si>
  <si>
    <t>アップルパン306/1.061</t>
    <phoneticPr fontId="1"/>
  </si>
  <si>
    <r>
      <t>鮪</t>
    </r>
    <r>
      <rPr>
        <b/>
        <sz val="6"/>
        <color theme="1"/>
        <rFont val="ＭＳ Ｐゴシック"/>
        <family val="3"/>
        <charset val="128"/>
        <scheme val="minor"/>
      </rPr>
      <t>ライトツナフレーク</t>
    </r>
    <r>
      <rPr>
        <sz val="11"/>
        <color theme="1"/>
        <rFont val="ＭＳ Ｐゴシック"/>
        <family val="3"/>
        <charset val="128"/>
        <scheme val="minor"/>
      </rPr>
      <t>油漬(缶)</t>
    </r>
    <r>
      <rPr>
        <b/>
        <sz val="6"/>
        <color theme="1"/>
        <rFont val="ＭＳ Ｐゴシック"/>
        <family val="3"/>
        <charset val="128"/>
        <scheme val="minor"/>
      </rPr>
      <t>192/0.7</t>
    </r>
    <rPh sb="0" eb="1">
      <t>マグロ</t>
    </rPh>
    <rPh sb="10" eb="11">
      <t>アブラ</t>
    </rPh>
    <rPh sb="11" eb="12">
      <t>ヅ</t>
    </rPh>
    <rPh sb="13" eb="14">
      <t>カン</t>
    </rPh>
    <phoneticPr fontId="1"/>
  </si>
  <si>
    <t>カレイ唐揚げ183</t>
    <rPh sb="3" eb="5">
      <t>カラア</t>
    </rPh>
    <phoneticPr fontId="1"/>
  </si>
  <si>
    <t>切干大根(ホッカン)278</t>
    <rPh sb="0" eb="2">
      <t>キリボシ</t>
    </rPh>
    <rPh sb="2" eb="4">
      <t>ダイコン</t>
    </rPh>
    <phoneticPr fontId="1"/>
  </si>
  <si>
    <t>ヨーグルト恵・脂質0</t>
    <rPh sb="5" eb="6">
      <t>メグミ</t>
    </rPh>
    <rPh sb="7" eb="9">
      <t>シシツ</t>
    </rPh>
    <phoneticPr fontId="1"/>
  </si>
  <si>
    <t>揚げ(うかし・マルカワ)386</t>
    <rPh sb="0" eb="1">
      <t>ア</t>
    </rPh>
    <phoneticPr fontId="1"/>
  </si>
  <si>
    <t>キチジ(キンキン)生</t>
    <rPh sb="9" eb="10">
      <t>ナマ</t>
    </rPh>
    <phoneticPr fontId="1"/>
  </si>
  <si>
    <t>キンキン(キチジ)生</t>
    <rPh sb="9" eb="10">
      <t>ナマ</t>
    </rPh>
    <phoneticPr fontId="1"/>
  </si>
  <si>
    <t>ホットケーキの粉coop</t>
    <rPh sb="7" eb="8">
      <t>コナ</t>
    </rPh>
    <phoneticPr fontId="1"/>
  </si>
  <si>
    <t>つまみたら295</t>
    <phoneticPr fontId="1"/>
  </si>
  <si>
    <t>スパゲティミートソース156</t>
    <phoneticPr fontId="1"/>
  </si>
  <si>
    <t>カレーライス（ポーク）</t>
    <phoneticPr fontId="1"/>
  </si>
  <si>
    <t>かりんとう(黒)493</t>
    <rPh sb="6" eb="7">
      <t>クロ</t>
    </rPh>
    <phoneticPr fontId="1"/>
  </si>
  <si>
    <t>干しぶどう301</t>
    <rPh sb="0" eb="1">
      <t>ホ</t>
    </rPh>
    <phoneticPr fontId="1"/>
  </si>
  <si>
    <t>さんま水煮(缶詰)321/1.5</t>
    <rPh sb="3" eb="5">
      <t>ミズニ</t>
    </rPh>
    <rPh sb="6" eb="8">
      <t>カンヅメ</t>
    </rPh>
    <phoneticPr fontId="1"/>
  </si>
  <si>
    <t>めざし257</t>
    <phoneticPr fontId="1"/>
  </si>
  <si>
    <t>天ぷら(ちくわ)206</t>
    <rPh sb="0" eb="1">
      <t>テン</t>
    </rPh>
    <phoneticPr fontId="1"/>
  </si>
  <si>
    <t>きんぴら(ごぼう)123</t>
    <phoneticPr fontId="1"/>
  </si>
  <si>
    <t>明太子126</t>
    <rPh sb="0" eb="3">
      <t>メンタイコ</t>
    </rPh>
    <phoneticPr fontId="1"/>
  </si>
  <si>
    <t>カスタードクリームパン236</t>
    <phoneticPr fontId="1"/>
  </si>
  <si>
    <t>ゼリー(巨峰味)332</t>
    <rPh sb="4" eb="6">
      <t>キョホウ</t>
    </rPh>
    <rPh sb="6" eb="7">
      <t>アジ</t>
    </rPh>
    <phoneticPr fontId="1"/>
  </si>
  <si>
    <t>ゼリー(寒天)335</t>
    <rPh sb="4" eb="6">
      <t>カンテン</t>
    </rPh>
    <phoneticPr fontId="1"/>
  </si>
  <si>
    <t>パウンドケーキ395</t>
    <phoneticPr fontId="1"/>
  </si>
  <si>
    <t>玉ねぎ(生)</t>
    <rPh sb="0" eb="1">
      <t>タマ</t>
    </rPh>
    <rPh sb="4" eb="5">
      <t>ナマ</t>
    </rPh>
    <phoneticPr fontId="1"/>
  </si>
  <si>
    <t>玉ねぎ(ゆで)</t>
    <rPh sb="0" eb="1">
      <t>タマ</t>
    </rPh>
    <phoneticPr fontId="1"/>
  </si>
  <si>
    <t>紅ズワイガニほぐし身(缶詰)</t>
    <rPh sb="0" eb="1">
      <t>ベニ</t>
    </rPh>
    <rPh sb="9" eb="10">
      <t>ミ</t>
    </rPh>
    <rPh sb="11" eb="13">
      <t>カンヅメ</t>
    </rPh>
    <phoneticPr fontId="1"/>
  </si>
  <si>
    <t>寒天(棒・信州)0/0.075</t>
    <rPh sb="0" eb="2">
      <t>カンテン</t>
    </rPh>
    <rPh sb="3" eb="4">
      <t>ボウ</t>
    </rPh>
    <rPh sb="5" eb="7">
      <t>シンシュウ</t>
    </rPh>
    <phoneticPr fontId="1"/>
  </si>
  <si>
    <t>マーガリン(バター1/3)68/0.1</t>
    <phoneticPr fontId="1"/>
  </si>
  <si>
    <t>創味のつゆ129</t>
    <rPh sb="0" eb="1">
      <t>ソウ</t>
    </rPh>
    <rPh sb="1" eb="2">
      <t>ミ</t>
    </rPh>
    <phoneticPr fontId="1"/>
  </si>
  <si>
    <t>もち(切餅)232</t>
    <rPh sb="3" eb="4">
      <t>キリ</t>
    </rPh>
    <rPh sb="4" eb="5">
      <t>モチ</t>
    </rPh>
    <phoneticPr fontId="1"/>
  </si>
  <si>
    <t>ポップコーン484</t>
    <phoneticPr fontId="1"/>
  </si>
  <si>
    <t>フルーツゼリー51</t>
    <phoneticPr fontId="1"/>
  </si>
  <si>
    <t>爆裂コーン408</t>
    <rPh sb="0" eb="2">
      <t>バクレツ</t>
    </rPh>
    <phoneticPr fontId="1"/>
  </si>
  <si>
    <t>しらたき(小結)9/0.85</t>
    <rPh sb="5" eb="7">
      <t>コムスビ</t>
    </rPh>
    <phoneticPr fontId="1"/>
  </si>
  <si>
    <t>大豆水煮143</t>
    <rPh sb="0" eb="2">
      <t>ダイズ</t>
    </rPh>
    <rPh sb="2" eb="4">
      <t>ミズニ</t>
    </rPh>
    <phoneticPr fontId="1"/>
  </si>
  <si>
    <t>栗の甘露煮238</t>
    <rPh sb="0" eb="1">
      <t>クリ</t>
    </rPh>
    <rPh sb="2" eb="5">
      <t>カンロニ</t>
    </rPh>
    <phoneticPr fontId="1"/>
  </si>
  <si>
    <t>うどん(讃岐・ゆで)142</t>
    <rPh sb="4" eb="6">
      <t>サヌキ</t>
    </rPh>
    <phoneticPr fontId="1"/>
  </si>
  <si>
    <t>黒大豆煮豆(丹波黒)290/1.4</t>
    <rPh sb="0" eb="1">
      <t>クロ</t>
    </rPh>
    <rPh sb="1" eb="3">
      <t>ダイズ</t>
    </rPh>
    <rPh sb="3" eb="5">
      <t>ニマメ</t>
    </rPh>
    <rPh sb="6" eb="8">
      <t>タンバ</t>
    </rPh>
    <rPh sb="8" eb="9">
      <t>クロ</t>
    </rPh>
    <phoneticPr fontId="1"/>
  </si>
  <si>
    <t>昆布巻き(ニシン)75/0.8</t>
    <rPh sb="0" eb="3">
      <t>コブマ</t>
    </rPh>
    <phoneticPr fontId="1"/>
  </si>
  <si>
    <t>昆布巻き(鮭)94</t>
    <rPh sb="0" eb="3">
      <t>コブマ</t>
    </rPh>
    <rPh sb="5" eb="6">
      <t>サケ</t>
    </rPh>
    <phoneticPr fontId="1"/>
  </si>
  <si>
    <t>シンコ餅(ゴマ衣)推定351</t>
    <rPh sb="3" eb="4">
      <t>モチ</t>
    </rPh>
    <rPh sb="7" eb="8">
      <t>コロモ</t>
    </rPh>
    <rPh sb="9" eb="11">
      <t>スイテイ</t>
    </rPh>
    <phoneticPr fontId="1"/>
  </si>
  <si>
    <t>昆布つゆ(ヤマサ)140</t>
    <rPh sb="0" eb="2">
      <t>コンブ</t>
    </rPh>
    <phoneticPr fontId="1"/>
  </si>
  <si>
    <t>うま煮(レンコン)推定</t>
    <rPh sb="2" eb="3">
      <t>ニ</t>
    </rPh>
    <rPh sb="9" eb="11">
      <t>スイテイ</t>
    </rPh>
    <phoneticPr fontId="1"/>
  </si>
  <si>
    <t>うま煮(竹の子)推定</t>
    <rPh sb="2" eb="3">
      <t>ニ</t>
    </rPh>
    <rPh sb="4" eb="5">
      <t>タケ</t>
    </rPh>
    <rPh sb="6" eb="7">
      <t>コ</t>
    </rPh>
    <rPh sb="8" eb="10">
      <t>スイテイ</t>
    </rPh>
    <phoneticPr fontId="1"/>
  </si>
  <si>
    <t>うま煮(こんにゃく白)推定</t>
    <rPh sb="2" eb="3">
      <t>ニ</t>
    </rPh>
    <rPh sb="9" eb="10">
      <t>シロ</t>
    </rPh>
    <rPh sb="11" eb="13">
      <t>スイテイ</t>
    </rPh>
    <phoneticPr fontId="1"/>
  </si>
  <si>
    <t>うま煮(鶏胸肉)推定</t>
    <rPh sb="2" eb="3">
      <t>ニ</t>
    </rPh>
    <rPh sb="4" eb="5">
      <t>トリ</t>
    </rPh>
    <rPh sb="5" eb="6">
      <t>ムネ</t>
    </rPh>
    <rPh sb="6" eb="7">
      <t>ニク</t>
    </rPh>
    <rPh sb="8" eb="10">
      <t>スイテイ</t>
    </rPh>
    <phoneticPr fontId="1"/>
  </si>
  <si>
    <t>うま煮(人参皮むき)推定</t>
    <rPh sb="2" eb="3">
      <t>ニ</t>
    </rPh>
    <rPh sb="4" eb="6">
      <t>ニンジン</t>
    </rPh>
    <rPh sb="6" eb="7">
      <t>カワ</t>
    </rPh>
    <rPh sb="10" eb="12">
      <t>スイテイ</t>
    </rPh>
    <phoneticPr fontId="1"/>
  </si>
  <si>
    <t>うま煮(さといも)推定</t>
    <rPh sb="2" eb="3">
      <t>ニ</t>
    </rPh>
    <rPh sb="9" eb="11">
      <t>スイテイ</t>
    </rPh>
    <phoneticPr fontId="1"/>
  </si>
  <si>
    <t>うま煮(ナルト)推定</t>
    <rPh sb="2" eb="3">
      <t>ニ</t>
    </rPh>
    <rPh sb="8" eb="10">
      <t>スイテイ</t>
    </rPh>
    <phoneticPr fontId="1"/>
  </si>
  <si>
    <t>うま煮(ごぼう)推定</t>
    <rPh sb="2" eb="3">
      <t>ニ</t>
    </rPh>
    <rPh sb="8" eb="10">
      <t>スイテイ</t>
    </rPh>
    <phoneticPr fontId="1"/>
  </si>
  <si>
    <t>うま煮(さやえんどう)推定</t>
    <rPh sb="2" eb="3">
      <t>ニ</t>
    </rPh>
    <rPh sb="11" eb="13">
      <t>スイテイ</t>
    </rPh>
    <phoneticPr fontId="1"/>
  </si>
  <si>
    <t>うま煮(しいたけ)推定</t>
    <rPh sb="2" eb="3">
      <t>ニ</t>
    </rPh>
    <rPh sb="9" eb="11">
      <t>スイテイ</t>
    </rPh>
    <phoneticPr fontId="1"/>
  </si>
  <si>
    <t>なると80</t>
    <phoneticPr fontId="1"/>
  </si>
  <si>
    <t>なると151/1.6</t>
    <phoneticPr fontId="1"/>
  </si>
  <si>
    <r>
      <t>味噌汁</t>
    </r>
    <r>
      <rPr>
        <b/>
        <sz val="8"/>
        <color theme="1"/>
        <rFont val="ＭＳ Ｐゴシック"/>
        <family val="3"/>
        <charset val="128"/>
        <scheme val="minor"/>
      </rPr>
      <t>（わかめ・豆腐）一般30</t>
    </r>
    <rPh sb="0" eb="3">
      <t>ミソシル</t>
    </rPh>
    <rPh sb="8" eb="10">
      <t>トウフ</t>
    </rPh>
    <rPh sb="11" eb="13">
      <t>イッパン</t>
    </rPh>
    <phoneticPr fontId="1"/>
  </si>
  <si>
    <t>ぶり(焼き)</t>
    <rPh sb="3" eb="4">
      <t>ヤ</t>
    </rPh>
    <phoneticPr fontId="1"/>
  </si>
  <si>
    <t>大豆(蒸し)205</t>
    <rPh sb="0" eb="2">
      <t>ダイズ</t>
    </rPh>
    <rPh sb="3" eb="4">
      <t>ム</t>
    </rPh>
    <phoneticPr fontId="1"/>
  </si>
  <si>
    <t>せり</t>
    <phoneticPr fontId="1"/>
  </si>
  <si>
    <t>なずな</t>
    <phoneticPr fontId="1"/>
  </si>
  <si>
    <t>クレソン</t>
    <phoneticPr fontId="1"/>
  </si>
  <si>
    <r>
      <t>ごぎよう</t>
    </r>
    <r>
      <rPr>
        <b/>
        <sz val="6"/>
        <color theme="1"/>
        <rFont val="ＭＳ Ｐゴシック"/>
        <family val="3"/>
        <charset val="128"/>
        <scheme val="minor"/>
      </rPr>
      <t>(クレソンで代用)</t>
    </r>
    <rPh sb="10" eb="12">
      <t>ダイヨウ</t>
    </rPh>
    <phoneticPr fontId="1"/>
  </si>
  <si>
    <r>
      <t>はこべら</t>
    </r>
    <r>
      <rPr>
        <b/>
        <sz val="6"/>
        <color theme="1"/>
        <rFont val="ＭＳ Ｐゴシック"/>
        <family val="3"/>
        <charset val="128"/>
        <scheme val="minor"/>
      </rPr>
      <t>(クレソンで代用)</t>
    </r>
    <phoneticPr fontId="1"/>
  </si>
  <si>
    <r>
      <t>ほとけのざ</t>
    </r>
    <r>
      <rPr>
        <b/>
        <sz val="6"/>
        <color theme="1"/>
        <rFont val="ＭＳ Ｐゴシック"/>
        <family val="3"/>
        <charset val="128"/>
        <scheme val="minor"/>
      </rPr>
      <t>(クレソンで代用)</t>
    </r>
    <phoneticPr fontId="1"/>
  </si>
  <si>
    <t>かぶ（葉・生）</t>
    <rPh sb="3" eb="4">
      <t>ハ</t>
    </rPh>
    <rPh sb="5" eb="6">
      <t>ナマ</t>
    </rPh>
    <phoneticPr fontId="1"/>
  </si>
  <si>
    <t>こんにゃく(白・徳用)</t>
    <rPh sb="6" eb="7">
      <t>シロ</t>
    </rPh>
    <rPh sb="8" eb="10">
      <t>トクヨウ</t>
    </rPh>
    <phoneticPr fontId="1"/>
  </si>
  <si>
    <t>味付ラム(味覚園)204</t>
    <rPh sb="0" eb="2">
      <t>アジツケ</t>
    </rPh>
    <rPh sb="5" eb="7">
      <t>ミカク</t>
    </rPh>
    <rPh sb="7" eb="8">
      <t>エン</t>
    </rPh>
    <phoneticPr fontId="1"/>
  </si>
  <si>
    <t>おでん(さつま揚げ)73/0.5</t>
    <rPh sb="7" eb="8">
      <t>ア</t>
    </rPh>
    <phoneticPr fontId="1"/>
  </si>
  <si>
    <t>おでん(こだわり卵)72/0.5</t>
    <rPh sb="8" eb="9">
      <t>タマゴ</t>
    </rPh>
    <phoneticPr fontId="1"/>
  </si>
  <si>
    <t>おでん(だし巻き卵)86/0.6</t>
    <rPh sb="6" eb="7">
      <t>マ</t>
    </rPh>
    <rPh sb="8" eb="9">
      <t>タマゴ</t>
    </rPh>
    <phoneticPr fontId="1"/>
  </si>
  <si>
    <t>おでん(たこ串)30/0.3</t>
    <rPh sb="6" eb="7">
      <t>クシ</t>
    </rPh>
    <phoneticPr fontId="1"/>
  </si>
  <si>
    <t>おでん(焼き豆腐)86/0.9</t>
    <rPh sb="4" eb="5">
      <t>ヤ</t>
    </rPh>
    <rPh sb="6" eb="8">
      <t>トウフ</t>
    </rPh>
    <phoneticPr fontId="1"/>
  </si>
  <si>
    <t>おでん(厚揚げ)113/0.9</t>
    <rPh sb="4" eb="6">
      <t>アツア</t>
    </rPh>
    <phoneticPr fontId="1"/>
  </si>
  <si>
    <t>おでん(焼きちくわ・全焼)47/0.43</t>
    <rPh sb="4" eb="5">
      <t>ヤ</t>
    </rPh>
    <rPh sb="10" eb="11">
      <t>ゼン</t>
    </rPh>
    <rPh sb="11" eb="12">
      <t>ヤ</t>
    </rPh>
    <phoneticPr fontId="1"/>
  </si>
  <si>
    <t>おでん(がんも・６種具材)82/0.5</t>
    <rPh sb="9" eb="10">
      <t>シュ</t>
    </rPh>
    <rPh sb="10" eb="11">
      <t>グ</t>
    </rPh>
    <rPh sb="11" eb="12">
      <t>ザイ</t>
    </rPh>
    <phoneticPr fontId="1"/>
  </si>
  <si>
    <t>おでん(じゃがいも)44/0.65</t>
    <phoneticPr fontId="1"/>
  </si>
  <si>
    <t>ゆであずき382/1.65</t>
    <phoneticPr fontId="1"/>
  </si>
  <si>
    <t>おでん(厚切大根)6/0.85</t>
    <rPh sb="4" eb="6">
      <t>アツギリ</t>
    </rPh>
    <rPh sb="6" eb="8">
      <t>ダイコン</t>
    </rPh>
    <phoneticPr fontId="1"/>
  </si>
  <si>
    <t>栗きんとん170</t>
    <rPh sb="0" eb="1">
      <t>クリ</t>
    </rPh>
    <phoneticPr fontId="1"/>
  </si>
  <si>
    <t>ゆであずき382/1.65</t>
    <phoneticPr fontId="1"/>
  </si>
  <si>
    <t>マトン(羊肉)236</t>
    <rPh sb="4" eb="5">
      <t>ヒツジ</t>
    </rPh>
    <rPh sb="5" eb="6">
      <t>ニク</t>
    </rPh>
    <phoneticPr fontId="1"/>
  </si>
  <si>
    <t>味噌(タニタ減塩)216</t>
    <rPh sb="0" eb="2">
      <t>ミソ</t>
    </rPh>
    <rPh sb="6" eb="8">
      <t>ゲンエン</t>
    </rPh>
    <phoneticPr fontId="1"/>
  </si>
  <si>
    <t>ベーコン(スライス)126/0.45</t>
    <phoneticPr fontId="1"/>
  </si>
  <si>
    <t>こうや豆腐88/0.165</t>
    <rPh sb="3" eb="5">
      <t>トウフ</t>
    </rPh>
    <phoneticPr fontId="1"/>
  </si>
  <si>
    <t>そば(生・幌加内)330/1.2</t>
    <rPh sb="3" eb="4">
      <t>ナマ</t>
    </rPh>
    <rPh sb="5" eb="8">
      <t>ホロカナイ</t>
    </rPh>
    <phoneticPr fontId="1"/>
  </si>
  <si>
    <t>和牛サーロイン(脂身付)ステーキ</t>
    <rPh sb="0" eb="2">
      <t>ワギュウ</t>
    </rPh>
    <rPh sb="8" eb="10">
      <t>アブラミ</t>
    </rPh>
    <rPh sb="10" eb="11">
      <t>ツキ</t>
    </rPh>
    <phoneticPr fontId="1"/>
  </si>
  <si>
    <t>チコリ</t>
    <phoneticPr fontId="1"/>
  </si>
  <si>
    <t>昆布茶(粉末)</t>
    <rPh sb="0" eb="2">
      <t>コンブ</t>
    </rPh>
    <rPh sb="2" eb="3">
      <t>チャ</t>
    </rPh>
    <rPh sb="4" eb="6">
      <t>フンマツ</t>
    </rPh>
    <phoneticPr fontId="1"/>
  </si>
  <si>
    <r>
      <t>青じそドレッシング</t>
    </r>
    <r>
      <rPr>
        <b/>
        <sz val="6"/>
        <color theme="1"/>
        <rFont val="ＭＳ Ｐゴシック"/>
        <family val="3"/>
        <charset val="128"/>
        <scheme val="minor"/>
      </rPr>
      <t>8/0.15</t>
    </r>
    <rPh sb="0" eb="1">
      <t>アオ</t>
    </rPh>
    <phoneticPr fontId="1"/>
  </si>
  <si>
    <t>焼豆腐88</t>
    <rPh sb="0" eb="1">
      <t>ヤキ</t>
    </rPh>
    <rPh sb="1" eb="3">
      <t>トウフ</t>
    </rPh>
    <phoneticPr fontId="1"/>
  </si>
  <si>
    <t>卵焼(厚焼き卵)150</t>
    <rPh sb="0" eb="1">
      <t>タマゴ</t>
    </rPh>
    <rPh sb="1" eb="2">
      <t>ヤキ</t>
    </rPh>
    <rPh sb="3" eb="5">
      <t>アツヤ</t>
    </rPh>
    <rPh sb="6" eb="7">
      <t>タマゴ</t>
    </rPh>
    <phoneticPr fontId="1"/>
  </si>
  <si>
    <t>あずき水煮24/0.383</t>
    <rPh sb="3" eb="5">
      <t>ミズニ</t>
    </rPh>
    <phoneticPr fontId="1"/>
  </si>
  <si>
    <t>チョコレート(カカオ86%)405/0.7</t>
    <phoneticPr fontId="1"/>
  </si>
  <si>
    <t>チョコレート(カカオ95%)362/0.6</t>
    <phoneticPr fontId="1"/>
  </si>
  <si>
    <t>味付マトンロース(味覚園)</t>
    <rPh sb="0" eb="1">
      <t>アジ</t>
    </rPh>
    <rPh sb="1" eb="2">
      <t>ツ</t>
    </rPh>
    <rPh sb="9" eb="11">
      <t>ミカク</t>
    </rPh>
    <rPh sb="11" eb="12">
      <t>エン</t>
    </rPh>
    <phoneticPr fontId="1"/>
  </si>
  <si>
    <t>揚げカマボコ（ガンモドキ）182</t>
    <rPh sb="0" eb="1">
      <t>ア</t>
    </rPh>
    <phoneticPr fontId="1"/>
  </si>
  <si>
    <t>めかぶわかめ</t>
    <phoneticPr fontId="1"/>
  </si>
  <si>
    <t>黒豆（蒸し）177</t>
    <rPh sb="0" eb="2">
      <t>クロマメ</t>
    </rPh>
    <rPh sb="3" eb="4">
      <t>ム</t>
    </rPh>
    <phoneticPr fontId="1"/>
  </si>
  <si>
    <t>寒天パウダー0.2/0.02</t>
    <rPh sb="0" eb="2">
      <t>カンテン</t>
    </rPh>
    <phoneticPr fontId="1"/>
  </si>
  <si>
    <t>ポップコーン（塩バター味）440/0.9</t>
    <rPh sb="7" eb="8">
      <t>シオ</t>
    </rPh>
    <rPh sb="11" eb="12">
      <t>アジ</t>
    </rPh>
    <phoneticPr fontId="1"/>
  </si>
  <si>
    <t>金時豆（煮豆）164</t>
    <rPh sb="0" eb="2">
      <t>キントキ</t>
    </rPh>
    <rPh sb="2" eb="3">
      <t>マメ</t>
    </rPh>
    <rPh sb="4" eb="6">
      <t>ニマメ</t>
    </rPh>
    <phoneticPr fontId="1"/>
  </si>
  <si>
    <t>干し芋(雪の華)256</t>
    <rPh sb="0" eb="1">
      <t>ホ</t>
    </rPh>
    <rPh sb="2" eb="3">
      <t>イモ</t>
    </rPh>
    <rPh sb="4" eb="5">
      <t>ユキ</t>
    </rPh>
    <rPh sb="6" eb="7">
      <t>ハナ</t>
    </rPh>
    <phoneticPr fontId="1"/>
  </si>
  <si>
    <t>桜エビ（素干し）41/0.13</t>
    <rPh sb="0" eb="1">
      <t>サクラ</t>
    </rPh>
    <rPh sb="4" eb="5">
      <t>ス</t>
    </rPh>
    <rPh sb="5" eb="6">
      <t>ボ</t>
    </rPh>
    <phoneticPr fontId="1"/>
  </si>
  <si>
    <t>金時豆（煮豆）260/1.5</t>
    <rPh sb="0" eb="2">
      <t>キントキ</t>
    </rPh>
    <rPh sb="2" eb="3">
      <t>マメ</t>
    </rPh>
    <rPh sb="4" eb="6">
      <t>ニマメ</t>
    </rPh>
    <phoneticPr fontId="1"/>
  </si>
  <si>
    <t>豆五郎（煎餅落花生入）149/0.24</t>
    <rPh sb="0" eb="1">
      <t>マメ</t>
    </rPh>
    <rPh sb="1" eb="3">
      <t>ゴロウ</t>
    </rPh>
    <rPh sb="4" eb="6">
      <t>センベイ</t>
    </rPh>
    <rPh sb="6" eb="9">
      <t>ラッカセイ</t>
    </rPh>
    <rPh sb="9" eb="10">
      <t>イ</t>
    </rPh>
    <phoneticPr fontId="1"/>
  </si>
  <si>
    <t>いよかん（果物）</t>
    <rPh sb="5" eb="7">
      <t>クダモノ</t>
    </rPh>
    <phoneticPr fontId="1"/>
  </si>
  <si>
    <t>そば（ゆで・かけそば）250/1.8</t>
    <phoneticPr fontId="1"/>
  </si>
  <si>
    <t>きなこねじり（タケダ）387</t>
    <phoneticPr fontId="1"/>
  </si>
  <si>
    <t>ポップコーン（スイート）400</t>
    <phoneticPr fontId="1"/>
  </si>
  <si>
    <t>メバル（クサカサゴ科）生</t>
    <rPh sb="9" eb="10">
      <t>カ</t>
    </rPh>
    <rPh sb="11" eb="12">
      <t>ナマ</t>
    </rPh>
    <phoneticPr fontId="1"/>
  </si>
  <si>
    <t>ソイ(メバルで代用)</t>
    <rPh sb="7" eb="9">
      <t>ダイヨウ</t>
    </rPh>
    <phoneticPr fontId="1"/>
  </si>
  <si>
    <t>豆腐（道産大豆）87</t>
    <rPh sb="0" eb="2">
      <t>トウフ</t>
    </rPh>
    <rPh sb="3" eb="4">
      <t>ドウ</t>
    </rPh>
    <rPh sb="4" eb="5">
      <t>サン</t>
    </rPh>
    <rPh sb="5" eb="7">
      <t>ダイズ</t>
    </rPh>
    <phoneticPr fontId="1"/>
  </si>
  <si>
    <t>ベーコン（ハーフ）78/0.31</t>
    <phoneticPr fontId="1"/>
  </si>
  <si>
    <t>スパゲッティ(乾麺)356</t>
    <rPh sb="7" eb="9">
      <t>カンメン</t>
    </rPh>
    <phoneticPr fontId="1"/>
  </si>
  <si>
    <t>天丼169</t>
    <rPh sb="0" eb="2">
      <t>テンドン</t>
    </rPh>
    <phoneticPr fontId="1"/>
  </si>
  <si>
    <t>えび天丼163</t>
    <rPh sb="2" eb="4">
      <t>テンドン</t>
    </rPh>
    <phoneticPr fontId="1"/>
  </si>
  <si>
    <t>カツ丼</t>
    <rPh sb="2" eb="3">
      <t>ドン</t>
    </rPh>
    <phoneticPr fontId="1"/>
  </si>
  <si>
    <t>牛丼</t>
    <rPh sb="0" eb="2">
      <t>ギュウドン</t>
    </rPh>
    <phoneticPr fontId="1"/>
  </si>
  <si>
    <t>豚丼</t>
    <rPh sb="0" eb="1">
      <t>ブタ</t>
    </rPh>
    <rPh sb="1" eb="2">
      <t>ドン</t>
    </rPh>
    <phoneticPr fontId="1"/>
  </si>
  <si>
    <t>ほっちゃれ（大丸）</t>
    <rPh sb="6" eb="8">
      <t>ダイマル</t>
    </rPh>
    <phoneticPr fontId="1"/>
  </si>
  <si>
    <t>ゆずこしょう（キューピー）8/0.15</t>
    <phoneticPr fontId="1"/>
  </si>
  <si>
    <t>味付めかぶ11/0.45</t>
    <rPh sb="0" eb="2">
      <t>アジツケ</t>
    </rPh>
    <phoneticPr fontId="1"/>
  </si>
  <si>
    <t>豆腐（久保食品）77</t>
    <rPh sb="0" eb="2">
      <t>トウフ</t>
    </rPh>
    <rPh sb="3" eb="5">
      <t>クボ</t>
    </rPh>
    <rPh sb="5" eb="7">
      <t>ショクヒン</t>
    </rPh>
    <phoneticPr fontId="1"/>
  </si>
  <si>
    <t>鮭切り身85</t>
    <rPh sb="0" eb="1">
      <t>サケ</t>
    </rPh>
    <rPh sb="1" eb="2">
      <t>キ</t>
    </rPh>
    <rPh sb="3" eb="4">
      <t>ミ</t>
    </rPh>
    <phoneticPr fontId="1"/>
  </si>
  <si>
    <t>金時煮豆・低糖148</t>
    <rPh sb="0" eb="2">
      <t>キントキ</t>
    </rPh>
    <rPh sb="2" eb="4">
      <t>ニマメ</t>
    </rPh>
    <rPh sb="5" eb="7">
      <t>テイトウ</t>
    </rPh>
    <phoneticPr fontId="1"/>
  </si>
  <si>
    <t>きなこねじり387</t>
    <phoneticPr fontId="1"/>
  </si>
  <si>
    <t>きなこねじり371</t>
    <phoneticPr fontId="1"/>
  </si>
  <si>
    <r>
      <t>牛肉</t>
    </r>
    <r>
      <rPr>
        <b/>
        <sz val="6"/>
        <color theme="1"/>
        <rFont val="ＭＳ Ｐゴシック"/>
        <family val="3"/>
        <charset val="128"/>
        <scheme val="minor"/>
      </rPr>
      <t>（和牛肩ロース脂身付生）</t>
    </r>
    <r>
      <rPr>
        <sz val="11"/>
        <color theme="1"/>
        <rFont val="ＭＳ Ｐゴシック"/>
        <family val="2"/>
        <charset val="128"/>
        <scheme val="minor"/>
      </rPr>
      <t>411</t>
    </r>
    <rPh sb="0" eb="2">
      <t>ギュウニク</t>
    </rPh>
    <rPh sb="3" eb="5">
      <t>ワギュウ</t>
    </rPh>
    <rPh sb="5" eb="6">
      <t>カタ</t>
    </rPh>
    <rPh sb="9" eb="11">
      <t>アブラミ</t>
    </rPh>
    <rPh sb="11" eb="12">
      <t>ツキ</t>
    </rPh>
    <rPh sb="12" eb="13">
      <t>ナマ</t>
    </rPh>
    <phoneticPr fontId="1"/>
  </si>
  <si>
    <t>黒豆(祝黒・煮)200</t>
    <rPh sb="0" eb="2">
      <t>クロマメ</t>
    </rPh>
    <rPh sb="3" eb="4">
      <t>シュク</t>
    </rPh>
    <rPh sb="4" eb="5">
      <t>クロ</t>
    </rPh>
    <rPh sb="6" eb="7">
      <t>ニ</t>
    </rPh>
    <phoneticPr fontId="1"/>
  </si>
  <si>
    <t>夏みかん</t>
    <rPh sb="0" eb="1">
      <t>ナツ</t>
    </rPh>
    <phoneticPr fontId="1"/>
  </si>
  <si>
    <t>おこし380</t>
    <phoneticPr fontId="1"/>
  </si>
  <si>
    <t>昆布(利尻根昆布・素干)138</t>
    <rPh sb="0" eb="2">
      <t>コンブ</t>
    </rPh>
    <rPh sb="3" eb="5">
      <t>リシリ</t>
    </rPh>
    <rPh sb="5" eb="6">
      <t>ネ</t>
    </rPh>
    <rPh sb="6" eb="8">
      <t>コンブ</t>
    </rPh>
    <rPh sb="9" eb="10">
      <t>ス</t>
    </rPh>
    <rPh sb="10" eb="11">
      <t>ボ</t>
    </rPh>
    <phoneticPr fontId="1"/>
  </si>
  <si>
    <t>とろろ昆布(根昆布)198</t>
    <rPh sb="3" eb="5">
      <t>コンブ</t>
    </rPh>
    <rPh sb="6" eb="7">
      <t>トネ</t>
    </rPh>
    <rPh sb="7" eb="9">
      <t>コンブ</t>
    </rPh>
    <phoneticPr fontId="1"/>
  </si>
  <si>
    <t>ジャンボコーン305/0.72</t>
    <phoneticPr fontId="1"/>
  </si>
  <si>
    <t>大豆水煮(フジッコ料理大豆)143</t>
    <rPh sb="0" eb="2">
      <t>ダイズ</t>
    </rPh>
    <rPh sb="2" eb="4">
      <t>ミズニ</t>
    </rPh>
    <rPh sb="9" eb="11">
      <t>リョウリ</t>
    </rPh>
    <rPh sb="11" eb="13">
      <t>ダイズ</t>
    </rPh>
    <phoneticPr fontId="1"/>
  </si>
  <si>
    <t>おこし(お好み)459</t>
    <rPh sb="5" eb="6">
      <t>コノ</t>
    </rPh>
    <phoneticPr fontId="1"/>
  </si>
  <si>
    <t>ざるそば汁49</t>
    <rPh sb="4" eb="5">
      <t>ツユ</t>
    </rPh>
    <phoneticPr fontId="1"/>
  </si>
  <si>
    <t>ゼリー(炭焼珈琲)338</t>
    <rPh sb="4" eb="6">
      <t>スミヤ</t>
    </rPh>
    <rPh sb="6" eb="8">
      <t>コーヒー</t>
    </rPh>
    <phoneticPr fontId="1"/>
  </si>
  <si>
    <t>さつま揚げ97/0.43</t>
    <rPh sb="3" eb="4">
      <t>ア</t>
    </rPh>
    <phoneticPr fontId="1"/>
  </si>
  <si>
    <t>ふ（車ふ）332/0.67</t>
    <rPh sb="2" eb="3">
      <t>クルマ</t>
    </rPh>
    <phoneticPr fontId="1"/>
  </si>
  <si>
    <t>いかソーメン66/0.19</t>
    <phoneticPr fontId="1"/>
  </si>
  <si>
    <t>かすべ（えい)蒸焼</t>
    <rPh sb="7" eb="8">
      <t>ム</t>
    </rPh>
    <rPh sb="8" eb="9">
      <t>ヤ</t>
    </rPh>
    <phoneticPr fontId="1"/>
  </si>
  <si>
    <t>くるみきなこ491/0.77</t>
    <phoneticPr fontId="1"/>
  </si>
  <si>
    <t>鶏（成鶏・ささ身・蒸し焼き)</t>
    <rPh sb="0" eb="1">
      <t>トリ</t>
    </rPh>
    <rPh sb="2" eb="3">
      <t>シゲル</t>
    </rPh>
    <rPh sb="3" eb="4">
      <t>トリ</t>
    </rPh>
    <rPh sb="7" eb="8">
      <t>ミ</t>
    </rPh>
    <rPh sb="9" eb="10">
      <t>ム</t>
    </rPh>
    <rPh sb="11" eb="12">
      <t>ヤ</t>
    </rPh>
    <phoneticPr fontId="1"/>
  </si>
  <si>
    <t>ちくわ(焼き・一正)44/0.48</t>
    <rPh sb="4" eb="5">
      <t>ヤキ</t>
    </rPh>
    <rPh sb="7" eb="8">
      <t>イチ</t>
    </rPh>
    <rPh sb="8" eb="9">
      <t>ショウ</t>
    </rPh>
    <phoneticPr fontId="1"/>
  </si>
  <si>
    <t>もやし(豆・ブラックマッペ)15</t>
    <rPh sb="4" eb="5">
      <t>マメ</t>
    </rPh>
    <phoneticPr fontId="1"/>
  </si>
  <si>
    <t>卵焼5/27作</t>
    <rPh sb="0" eb="1">
      <t>タマゴ</t>
    </rPh>
    <rPh sb="1" eb="2">
      <t>ヤキ</t>
    </rPh>
    <rPh sb="6" eb="7">
      <t>サク</t>
    </rPh>
    <phoneticPr fontId="1"/>
  </si>
  <si>
    <t>ハム(特級もも)51/0.38</t>
    <rPh sb="3" eb="4">
      <t>トク</t>
    </rPh>
    <rPh sb="4" eb="5">
      <t>キュウ</t>
    </rPh>
    <phoneticPr fontId="1"/>
  </si>
  <si>
    <t>ラーメン(冷やし生)289/1.1</t>
    <rPh sb="5" eb="6">
      <t>ヒ</t>
    </rPh>
    <rPh sb="8" eb="9">
      <t>ナマ</t>
    </rPh>
    <phoneticPr fontId="1"/>
  </si>
  <si>
    <t>アスパラガス(蒸し)</t>
    <rPh sb="7" eb="8">
      <t>ム</t>
    </rPh>
    <phoneticPr fontId="1"/>
  </si>
  <si>
    <t>干し芋(熟し芋)277</t>
    <rPh sb="0" eb="1">
      <t>ホ</t>
    </rPh>
    <rPh sb="2" eb="3">
      <t>イモ</t>
    </rPh>
    <rPh sb="4" eb="5">
      <t>ジュク</t>
    </rPh>
    <rPh sb="6" eb="7">
      <t>イモ</t>
    </rPh>
    <phoneticPr fontId="1"/>
  </si>
  <si>
    <t>鶏（成鶏・ささ身・蒸し焼き)No.2</t>
    <rPh sb="0" eb="1">
      <t>トリ</t>
    </rPh>
    <rPh sb="2" eb="3">
      <t>シゲル</t>
    </rPh>
    <rPh sb="3" eb="4">
      <t>トリ</t>
    </rPh>
    <rPh sb="7" eb="8">
      <t>ミ</t>
    </rPh>
    <rPh sb="9" eb="10">
      <t>ム</t>
    </rPh>
    <rPh sb="11" eb="12">
      <t>ヤ</t>
    </rPh>
    <phoneticPr fontId="1"/>
  </si>
  <si>
    <t>豆腐(北海道・木綿)87</t>
    <rPh sb="0" eb="2">
      <t>トウフ</t>
    </rPh>
    <rPh sb="3" eb="6">
      <t>ホッカイドウ</t>
    </rPh>
    <rPh sb="7" eb="9">
      <t>モメン</t>
    </rPh>
    <phoneticPr fontId="1"/>
  </si>
  <si>
    <t>爆裂コーン（坂金）397</t>
    <rPh sb="0" eb="2">
      <t>バクレツ</t>
    </rPh>
    <rPh sb="6" eb="7">
      <t>サカ</t>
    </rPh>
    <rPh sb="7" eb="8">
      <t>キン</t>
    </rPh>
    <phoneticPr fontId="1"/>
  </si>
  <si>
    <t>こんぶ飴()15/0.045</t>
    <rPh sb="3" eb="4">
      <t>アメ</t>
    </rPh>
    <phoneticPr fontId="1"/>
  </si>
  <si>
    <t>こんぶ飴(抹茶味)15/0.045</t>
    <rPh sb="3" eb="4">
      <t>アメ</t>
    </rPh>
    <rPh sb="5" eb="7">
      <t>マッチャ</t>
    </rPh>
    <rPh sb="7" eb="8">
      <t>アジ</t>
    </rPh>
    <phoneticPr fontId="1"/>
  </si>
  <si>
    <t>こんぶ飴(ゴマ味)15/0.045</t>
    <rPh sb="3" eb="4">
      <t>アメ</t>
    </rPh>
    <rPh sb="7" eb="8">
      <t>アジ</t>
    </rPh>
    <phoneticPr fontId="1"/>
  </si>
  <si>
    <t>みつ豆(和菓子)63</t>
    <rPh sb="2" eb="3">
      <t>マメ</t>
    </rPh>
    <rPh sb="4" eb="7">
      <t>ワガシ</t>
    </rPh>
    <phoneticPr fontId="1"/>
  </si>
  <si>
    <r>
      <t>ロースハム</t>
    </r>
    <r>
      <rPr>
        <b/>
        <sz val="6"/>
        <color theme="1"/>
        <rFont val="ＭＳ Ｐゴシック"/>
        <family val="3"/>
        <charset val="128"/>
        <scheme val="minor"/>
      </rPr>
      <t>(スライス)</t>
    </r>
    <r>
      <rPr>
        <b/>
        <sz val="8"/>
        <color theme="1"/>
        <rFont val="ＭＳ Ｐゴシック"/>
        <family val="3"/>
        <charset val="128"/>
        <scheme val="minor"/>
      </rPr>
      <t>39/0.36</t>
    </r>
    <phoneticPr fontId="1"/>
  </si>
  <si>
    <t>パン(デニッシュ)392/1.2</t>
    <phoneticPr fontId="1"/>
  </si>
  <si>
    <t>リンゴジュース(青研)44</t>
    <rPh sb="8" eb="9">
      <t>アオ</t>
    </rPh>
    <rPh sb="9" eb="10">
      <t>ケン</t>
    </rPh>
    <phoneticPr fontId="1"/>
  </si>
  <si>
    <t>そば(更科・なま284→茹で)139.82</t>
    <rPh sb="3" eb="5">
      <t>サラシナ</t>
    </rPh>
    <rPh sb="12" eb="13">
      <t>ユ</t>
    </rPh>
    <phoneticPr fontId="1"/>
  </si>
  <si>
    <t>天ぷら(小樽)135</t>
    <rPh sb="0" eb="1">
      <t>テン</t>
    </rPh>
    <rPh sb="4" eb="6">
      <t>オタル</t>
    </rPh>
    <phoneticPr fontId="1"/>
  </si>
  <si>
    <t>サケ（しろさけ・蒸し）</t>
    <rPh sb="8" eb="9">
      <t>ム</t>
    </rPh>
    <phoneticPr fontId="1"/>
  </si>
  <si>
    <t>しいたけ（蒸し）</t>
    <rPh sb="5" eb="6">
      <t>ム</t>
    </rPh>
    <phoneticPr fontId="1"/>
  </si>
  <si>
    <t>玉ねぎ(蒸し)</t>
    <rPh sb="0" eb="1">
      <t>タマ</t>
    </rPh>
    <rPh sb="4" eb="5">
      <t>ム</t>
    </rPh>
    <phoneticPr fontId="1"/>
  </si>
  <si>
    <t>爆裂コーン（坂金）408</t>
    <rPh sb="0" eb="2">
      <t>バクレツ</t>
    </rPh>
    <rPh sb="6" eb="7">
      <t>サカ</t>
    </rPh>
    <rPh sb="7" eb="8">
      <t>キン</t>
    </rPh>
    <phoneticPr fontId="1"/>
  </si>
  <si>
    <t>おはぎ・ぼたもち268</t>
    <phoneticPr fontId="1"/>
  </si>
  <si>
    <t>シフォンケーキ290</t>
    <phoneticPr fontId="1"/>
  </si>
  <si>
    <t>うどん(ゆで・かけうどん)204/1.8</t>
    <phoneticPr fontId="1"/>
  </si>
  <si>
    <t>ジャンボコーン(イオン)385</t>
    <phoneticPr fontId="1"/>
  </si>
  <si>
    <t>ビーフジャキー98/0.4</t>
    <phoneticPr fontId="1"/>
  </si>
  <si>
    <t>鶏（成鶏・ささ身・蒸し焼き)No.3</t>
    <rPh sb="0" eb="1">
      <t>トリ</t>
    </rPh>
    <rPh sb="2" eb="3">
      <t>シゲル</t>
    </rPh>
    <rPh sb="3" eb="4">
      <t>トリ</t>
    </rPh>
    <rPh sb="7" eb="8">
      <t>ミ</t>
    </rPh>
    <rPh sb="9" eb="10">
      <t>ム</t>
    </rPh>
    <rPh sb="11" eb="12">
      <t>ヤ</t>
    </rPh>
    <phoneticPr fontId="1"/>
  </si>
  <si>
    <t>夕張メロンピュアゼリー62.4/0.8</t>
    <rPh sb="0" eb="2">
      <t>ユウバリ</t>
    </rPh>
    <phoneticPr fontId="1"/>
  </si>
  <si>
    <t>ソーメン㊥乾麺</t>
    <rPh sb="5" eb="7">
      <t>カンメン</t>
    </rPh>
    <phoneticPr fontId="1"/>
  </si>
  <si>
    <r>
      <t>ソーメン㊥乾麺・</t>
    </r>
    <r>
      <rPr>
        <b/>
        <sz val="6"/>
        <color theme="1"/>
        <rFont val="ＭＳ Ｐゴシック"/>
        <family val="3"/>
        <charset val="128"/>
        <scheme val="minor"/>
      </rPr>
      <t>茹塩分減</t>
    </r>
    <rPh sb="5" eb="7">
      <t>カンメン</t>
    </rPh>
    <rPh sb="8" eb="9">
      <t>ユ</t>
    </rPh>
    <rPh sb="9" eb="11">
      <t>エンブン</t>
    </rPh>
    <rPh sb="11" eb="12">
      <t>ゲン</t>
    </rPh>
    <phoneticPr fontId="1"/>
  </si>
  <si>
    <t>ソーメンのつゆ(ヤマサ)40</t>
    <phoneticPr fontId="1"/>
  </si>
  <si>
    <t>お好み焼き粉co.op340</t>
    <rPh sb="1" eb="2">
      <t>コノ</t>
    </rPh>
    <rPh sb="3" eb="4">
      <t>ヤ</t>
    </rPh>
    <rPh sb="5" eb="6">
      <t>コ</t>
    </rPh>
    <phoneticPr fontId="1"/>
  </si>
  <si>
    <t>お好みソース61/0.5</t>
    <rPh sb="1" eb="2">
      <t>コノ</t>
    </rPh>
    <phoneticPr fontId="1"/>
  </si>
  <si>
    <t>青のり130</t>
    <rPh sb="0" eb="1">
      <t>アオ</t>
    </rPh>
    <phoneticPr fontId="1"/>
  </si>
  <si>
    <t>煮豆・ささげ豆(水煮)122.39</t>
    <phoneticPr fontId="1"/>
  </si>
  <si>
    <r>
      <t>そば</t>
    </r>
    <r>
      <rPr>
        <b/>
        <sz val="6"/>
        <color theme="1"/>
        <rFont val="ＭＳ Ｐゴシック"/>
        <family val="3"/>
        <charset val="128"/>
        <scheme val="minor"/>
      </rPr>
      <t>(北の年輪・田舎そば)</t>
    </r>
    <r>
      <rPr>
        <sz val="11"/>
        <color theme="1"/>
        <rFont val="ＭＳ Ｐゴシック"/>
        <family val="3"/>
        <charset val="128"/>
        <scheme val="minor"/>
      </rPr>
      <t>ゆで139.81</t>
    </r>
    <rPh sb="3" eb="4">
      <t>キタ</t>
    </rPh>
    <rPh sb="5" eb="7">
      <t>ネンリン</t>
    </rPh>
    <rPh sb="8" eb="10">
      <t>イナカ</t>
    </rPh>
    <phoneticPr fontId="1"/>
  </si>
  <si>
    <t>赤魚（アラスカメヌケ）105</t>
    <rPh sb="0" eb="1">
      <t>アカ</t>
    </rPh>
    <rPh sb="1" eb="2">
      <t>ウオ</t>
    </rPh>
    <phoneticPr fontId="1"/>
  </si>
  <si>
    <t>白花豆・味付煮</t>
    <rPh sb="0" eb="1">
      <t>シロ</t>
    </rPh>
    <rPh sb="1" eb="2">
      <t>ハナ</t>
    </rPh>
    <rPh sb="2" eb="3">
      <t>マメ</t>
    </rPh>
    <rPh sb="4" eb="5">
      <t>アジ</t>
    </rPh>
    <rPh sb="5" eb="6">
      <t>ツ</t>
    </rPh>
    <rPh sb="6" eb="7">
      <t>ニ</t>
    </rPh>
    <phoneticPr fontId="1"/>
  </si>
  <si>
    <t>花豆(乾燥豆)332</t>
    <rPh sb="0" eb="1">
      <t>ハナ</t>
    </rPh>
    <rPh sb="1" eb="2">
      <t>マメ</t>
    </rPh>
    <rPh sb="3" eb="5">
      <t>カンソウ</t>
    </rPh>
    <rPh sb="5" eb="6">
      <t>マメ</t>
    </rPh>
    <phoneticPr fontId="1"/>
  </si>
  <si>
    <t>花豆(ゆで豆)121</t>
    <rPh sb="0" eb="1">
      <t>ハナ</t>
    </rPh>
    <rPh sb="1" eb="2">
      <t>マメ</t>
    </rPh>
    <rPh sb="5" eb="6">
      <t>マメ</t>
    </rPh>
    <phoneticPr fontId="1"/>
  </si>
  <si>
    <t>白花豆・花豆(乾燥豆)332</t>
    <rPh sb="0" eb="1">
      <t>シロ</t>
    </rPh>
    <rPh sb="1" eb="2">
      <t>ハナ</t>
    </rPh>
    <rPh sb="2" eb="3">
      <t>マメ</t>
    </rPh>
    <rPh sb="4" eb="5">
      <t>ハナ</t>
    </rPh>
    <rPh sb="5" eb="6">
      <t>マメ</t>
    </rPh>
    <rPh sb="7" eb="9">
      <t>カンソウ</t>
    </rPh>
    <rPh sb="9" eb="10">
      <t>マメ</t>
    </rPh>
    <phoneticPr fontId="1"/>
  </si>
  <si>
    <t>白花豆・花豆(ゆで豆)121</t>
    <rPh sb="0" eb="1">
      <t>シロ</t>
    </rPh>
    <rPh sb="1" eb="2">
      <t>ハナ</t>
    </rPh>
    <rPh sb="2" eb="3">
      <t>マメ</t>
    </rPh>
    <rPh sb="4" eb="5">
      <t>ハナ</t>
    </rPh>
    <rPh sb="5" eb="6">
      <t>マメ</t>
    </rPh>
    <rPh sb="9" eb="10">
      <t>マメ</t>
    </rPh>
    <phoneticPr fontId="1"/>
  </si>
  <si>
    <t>白花豆・花豆(乾燥豆)→ゆで</t>
    <rPh sb="0" eb="1">
      <t>シロ</t>
    </rPh>
    <rPh sb="1" eb="2">
      <t>ハナ</t>
    </rPh>
    <rPh sb="2" eb="3">
      <t>マメ</t>
    </rPh>
    <rPh sb="4" eb="5">
      <t>ハナ</t>
    </rPh>
    <rPh sb="5" eb="6">
      <t>マメ</t>
    </rPh>
    <rPh sb="7" eb="9">
      <t>カンソウ</t>
    </rPh>
    <rPh sb="9" eb="10">
      <t>マメ</t>
    </rPh>
    <phoneticPr fontId="1"/>
  </si>
  <si>
    <t>金糸卵7/10</t>
  </si>
  <si>
    <t>金糸卵208.59</t>
    <rPh sb="0" eb="2">
      <t>キンシ</t>
    </rPh>
    <rPh sb="2" eb="3">
      <t>タマゴ</t>
    </rPh>
    <phoneticPr fontId="1"/>
  </si>
  <si>
    <t>コレステロールmg</t>
    <phoneticPr fontId="1"/>
  </si>
  <si>
    <t>コレステロールmg</t>
    <phoneticPr fontId="1"/>
  </si>
  <si>
    <t>ぎょうざ197</t>
    <phoneticPr fontId="1"/>
  </si>
  <si>
    <t>シシャモ（生）</t>
    <rPh sb="5" eb="6">
      <t>ナマ</t>
    </rPh>
    <phoneticPr fontId="1"/>
  </si>
  <si>
    <t>容器1</t>
    <rPh sb="0" eb="2">
      <t>ヨウキ</t>
    </rPh>
    <phoneticPr fontId="1"/>
  </si>
  <si>
    <t>容器2</t>
    <rPh sb="0" eb="2">
      <t>ヨウキ</t>
    </rPh>
    <phoneticPr fontId="1"/>
  </si>
  <si>
    <t>容器3</t>
    <rPh sb="0" eb="2">
      <t>ヨウキ</t>
    </rPh>
    <phoneticPr fontId="1"/>
  </si>
  <si>
    <t>味噌汁Ｂ</t>
    <rPh sb="0" eb="3">
      <t>ミソシル</t>
    </rPh>
    <phoneticPr fontId="1"/>
  </si>
  <si>
    <t>調理1</t>
    <rPh sb="0" eb="2">
      <t>チョウリ</t>
    </rPh>
    <phoneticPr fontId="1"/>
  </si>
  <si>
    <t>調理2</t>
    <rPh sb="0" eb="2">
      <t>チョウリ</t>
    </rPh>
    <phoneticPr fontId="1"/>
  </si>
  <si>
    <t>調理3</t>
    <rPh sb="0" eb="2">
      <t>チョウリ</t>
    </rPh>
    <phoneticPr fontId="1"/>
  </si>
  <si>
    <t>調理4</t>
    <rPh sb="0" eb="2">
      <t>チョウリ</t>
    </rPh>
    <phoneticPr fontId="1"/>
  </si>
  <si>
    <t>調理5</t>
    <rPh sb="0" eb="2">
      <t>チョウリ</t>
    </rPh>
    <phoneticPr fontId="1"/>
  </si>
  <si>
    <t>調理6</t>
    <rPh sb="0" eb="2">
      <t>チョウリ</t>
    </rPh>
    <phoneticPr fontId="1"/>
  </si>
  <si>
    <t>調理7</t>
    <rPh sb="0" eb="2">
      <t>チョウリ</t>
    </rPh>
    <phoneticPr fontId="1"/>
  </si>
  <si>
    <t>調理8</t>
    <rPh sb="0" eb="2">
      <t>チョウリ</t>
    </rPh>
    <phoneticPr fontId="1"/>
  </si>
  <si>
    <t>調理9</t>
    <rPh sb="0" eb="2">
      <t>チョウリ</t>
    </rPh>
    <phoneticPr fontId="1"/>
  </si>
  <si>
    <t>調理10</t>
    <rPh sb="0" eb="2">
      <t>チョウリ</t>
    </rPh>
    <phoneticPr fontId="1"/>
  </si>
  <si>
    <t>ｋｃａｌ</t>
    <phoneticPr fontId="1"/>
  </si>
  <si>
    <t>コレステロールmg</t>
    <phoneticPr fontId="1"/>
  </si>
  <si>
    <t>標準</t>
    <rPh sb="0" eb="2">
      <t>ヒョウジュン</t>
    </rPh>
    <phoneticPr fontId="1"/>
  </si>
  <si>
    <t>エネルギー Kcal</t>
    <phoneticPr fontId="1"/>
  </si>
  <si>
    <t>繊維水溶ｇ</t>
    <rPh sb="0" eb="2">
      <t>センイ</t>
    </rPh>
    <rPh sb="2" eb="4">
      <t>スイヨウ</t>
    </rPh>
    <phoneticPr fontId="1"/>
  </si>
  <si>
    <t>繊維不溶ｇ</t>
    <rPh sb="0" eb="2">
      <t>センイ</t>
    </rPh>
    <rPh sb="2" eb="4">
      <t>フヨウ</t>
    </rPh>
    <phoneticPr fontId="1"/>
  </si>
  <si>
    <t>繊維総量ｇ</t>
    <rPh sb="0" eb="2">
      <t>センイ</t>
    </rPh>
    <rPh sb="2" eb="4">
      <t>ソウリョウ</t>
    </rPh>
    <phoneticPr fontId="1"/>
  </si>
  <si>
    <t>食塩相当量ｇ</t>
    <rPh sb="0" eb="2">
      <t>ショクエン</t>
    </rPh>
    <rPh sb="2" eb="4">
      <t>ソウトウ</t>
    </rPh>
    <rPh sb="4" eb="5">
      <t>リョウ</t>
    </rPh>
    <phoneticPr fontId="1"/>
  </si>
  <si>
    <t>体重㎏</t>
    <rPh sb="0" eb="2">
      <t>タイジュウ</t>
    </rPh>
    <phoneticPr fontId="1"/>
  </si>
  <si>
    <t>スパゲティ(和風)・推定</t>
    <rPh sb="6" eb="8">
      <t>ワフウ</t>
    </rPh>
    <rPh sb="10" eb="12">
      <t>スイテイ</t>
    </rPh>
    <phoneticPr fontId="1"/>
  </si>
  <si>
    <t>スパゲティ(シーフード)・推定</t>
    <rPh sb="13" eb="15">
      <t>スイテイ</t>
    </rPh>
    <phoneticPr fontId="1"/>
  </si>
  <si>
    <t>スパゲティ(ミートソース)・推定</t>
    <rPh sb="14" eb="16">
      <t>スイテイ</t>
    </rPh>
    <phoneticPr fontId="1"/>
  </si>
  <si>
    <t>スパゲティ(カルボナーラ)・推定</t>
    <rPh sb="14" eb="16">
      <t>スイテイ</t>
    </rPh>
    <phoneticPr fontId="1"/>
  </si>
  <si>
    <t>豆腐(有機大豆)77</t>
    <rPh sb="0" eb="2">
      <t>トウフ</t>
    </rPh>
    <rPh sb="3" eb="5">
      <t>ユウキ</t>
    </rPh>
    <rPh sb="5" eb="7">
      <t>ダイズ</t>
    </rPh>
    <phoneticPr fontId="1"/>
  </si>
  <si>
    <t>そぱ味噌煮(缶詰)217</t>
    <rPh sb="2" eb="5">
      <t>ミソニ</t>
    </rPh>
    <rPh sb="6" eb="8">
      <t>カンヅメ</t>
    </rPh>
    <phoneticPr fontId="1"/>
  </si>
  <si>
    <t>ししとうがらし</t>
    <phoneticPr fontId="1"/>
  </si>
  <si>
    <t>卵焼き(一般的)144.72</t>
    <rPh sb="0" eb="1">
      <t>タマゴ</t>
    </rPh>
    <rPh sb="1" eb="2">
      <t>ヤ</t>
    </rPh>
    <rPh sb="4" eb="7">
      <t>イッパンテキ</t>
    </rPh>
    <phoneticPr fontId="1"/>
  </si>
  <si>
    <t>蒸しかまぼこ85</t>
    <rPh sb="0" eb="1">
      <t>ム</t>
    </rPh>
    <phoneticPr fontId="1"/>
  </si>
  <si>
    <t>かまぼこ(蒸し)85</t>
    <rPh sb="5" eb="6">
      <t>ム</t>
    </rPh>
    <phoneticPr fontId="1"/>
  </si>
  <si>
    <t>焼き肉7/23</t>
    <rPh sb="0" eb="1">
      <t>ヤ</t>
    </rPh>
    <rPh sb="2" eb="3">
      <t>ニク</t>
    </rPh>
    <phoneticPr fontId="1"/>
  </si>
  <si>
    <t>えびの天ぷら(一般)</t>
    <rPh sb="3" eb="4">
      <t>テン</t>
    </rPh>
    <rPh sb="7" eb="9">
      <t>イッパン</t>
    </rPh>
    <phoneticPr fontId="1"/>
  </si>
  <si>
    <t>冷しラーメンスープ114</t>
    <rPh sb="0" eb="1">
      <t>ヒヤ</t>
    </rPh>
    <phoneticPr fontId="1"/>
  </si>
  <si>
    <t>くす゜餅(和菓子)91</t>
    <rPh sb="3" eb="4">
      <t>モチ</t>
    </rPh>
    <rPh sb="5" eb="8">
      <t>ワガシ</t>
    </rPh>
    <phoneticPr fontId="1"/>
  </si>
  <si>
    <t>黒蜜199</t>
    <rPh sb="0" eb="2">
      <t>クロミツ</t>
    </rPh>
    <phoneticPr fontId="1"/>
  </si>
  <si>
    <t>摂取量上限</t>
    <rPh sb="0" eb="2">
      <t>セッシュ</t>
    </rPh>
    <rPh sb="2" eb="3">
      <t>リョウ</t>
    </rPh>
    <rPh sb="3" eb="5">
      <t>ジョウゲン</t>
    </rPh>
    <phoneticPr fontId="1"/>
  </si>
  <si>
    <t>摂取量下限</t>
    <rPh sb="0" eb="2">
      <t>セッシュ</t>
    </rPh>
    <rPh sb="2" eb="3">
      <t>リョウ</t>
    </rPh>
    <rPh sb="3" eb="5">
      <t>カゲン</t>
    </rPh>
    <phoneticPr fontId="1"/>
  </si>
  <si>
    <t>標準値</t>
    <rPh sb="0" eb="3">
      <t>ヒョウジュンチ</t>
    </rPh>
    <phoneticPr fontId="1"/>
  </si>
  <si>
    <t>あん・みつ豆(和菓子)85</t>
    <rPh sb="5" eb="6">
      <t>マメ</t>
    </rPh>
    <rPh sb="7" eb="10">
      <t>ワガシ</t>
    </rPh>
    <phoneticPr fontId="1"/>
  </si>
  <si>
    <t>栄養バランス(％エネルギー)</t>
    <rPh sb="0" eb="2">
      <t>エイヨウ</t>
    </rPh>
    <phoneticPr fontId="1"/>
  </si>
  <si>
    <t>ハム（ロース）64/0.54</t>
    <phoneticPr fontId="1"/>
  </si>
  <si>
    <t>エネルギー Kcal</t>
    <phoneticPr fontId="1"/>
  </si>
  <si>
    <t>コレステロールmg</t>
    <phoneticPr fontId="1"/>
  </si>
  <si>
    <t>HbA1C</t>
    <phoneticPr fontId="1"/>
  </si>
  <si>
    <t>sheet.p2</t>
    <phoneticPr fontId="1"/>
  </si>
  <si>
    <t>sheet.p3</t>
    <phoneticPr fontId="1"/>
  </si>
  <si>
    <t>ひやむぎ(揖保乃糸)329減塩</t>
    <rPh sb="5" eb="7">
      <t>イボ</t>
    </rPh>
    <rPh sb="7" eb="8">
      <t>ノ</t>
    </rPh>
    <rPh sb="8" eb="9">
      <t>イト</t>
    </rPh>
    <rPh sb="13" eb="15">
      <t>ゲンエン</t>
    </rPh>
    <phoneticPr fontId="1"/>
  </si>
  <si>
    <t>ひやむぎ(揖保乃糸)330</t>
    <rPh sb="5" eb="7">
      <t>イボ</t>
    </rPh>
    <rPh sb="7" eb="8">
      <t>ノ</t>
    </rPh>
    <rPh sb="8" eb="9">
      <t>イト</t>
    </rPh>
    <phoneticPr fontId="1"/>
  </si>
  <si>
    <t>ズッキーニ(生)</t>
    <rPh sb="6" eb="7">
      <t>ナマ</t>
    </rPh>
    <phoneticPr fontId="1"/>
  </si>
  <si>
    <t>中華だし</t>
    <rPh sb="0" eb="2">
      <t>チュウカ</t>
    </rPh>
    <phoneticPr fontId="1"/>
  </si>
  <si>
    <t>風味調味料</t>
    <rPh sb="0" eb="2">
      <t>フウミ</t>
    </rPh>
    <rPh sb="2" eb="5">
      <t>チョウミリョウ</t>
    </rPh>
    <phoneticPr fontId="1"/>
  </si>
  <si>
    <t>味噌ラーメンのスープ(外食)38.28</t>
    <rPh sb="0" eb="2">
      <t>ミソ</t>
    </rPh>
    <rPh sb="11" eb="13">
      <t>ガイショク</t>
    </rPh>
    <phoneticPr fontId="1"/>
  </si>
  <si>
    <t>ラーメンの麺(外食)149</t>
    <rPh sb="5" eb="6">
      <t>メン</t>
    </rPh>
    <rPh sb="7" eb="9">
      <t>ガイショク</t>
    </rPh>
    <phoneticPr fontId="1"/>
  </si>
  <si>
    <t>せんべい（ごま）96/0.17</t>
    <phoneticPr fontId="1"/>
  </si>
  <si>
    <t>せんべい（ピーナツ）82/0.17</t>
    <phoneticPr fontId="1"/>
  </si>
  <si>
    <t>せんべい（ミックス）71/0.17</t>
    <phoneticPr fontId="1"/>
  </si>
  <si>
    <t>鮭トバ154/0.52</t>
    <rPh sb="0" eb="1">
      <t>サケ</t>
    </rPh>
    <phoneticPr fontId="1"/>
  </si>
  <si>
    <t>昆布梅28/0.11</t>
    <rPh sb="0" eb="2">
      <t>コンブ</t>
    </rPh>
    <rPh sb="2" eb="3">
      <t>ウメ</t>
    </rPh>
    <phoneticPr fontId="1"/>
  </si>
  <si>
    <t>中華麺（揖保の糸・乾）271/0.8</t>
    <rPh sb="0" eb="2">
      <t>チュウカ</t>
    </rPh>
    <rPh sb="2" eb="3">
      <t>メン</t>
    </rPh>
    <rPh sb="4" eb="6">
      <t>イボ</t>
    </rPh>
    <rPh sb="7" eb="8">
      <t>イト</t>
    </rPh>
    <rPh sb="9" eb="10">
      <t>イヌイ</t>
    </rPh>
    <phoneticPr fontId="1"/>
  </si>
  <si>
    <t>中華麺（揖保の糸・乾）271/0.8減塩</t>
    <rPh sb="0" eb="2">
      <t>チュウカ</t>
    </rPh>
    <rPh sb="2" eb="3">
      <t>メン</t>
    </rPh>
    <rPh sb="4" eb="6">
      <t>イボ</t>
    </rPh>
    <rPh sb="7" eb="8">
      <t>イト</t>
    </rPh>
    <rPh sb="9" eb="10">
      <t>イヌイ</t>
    </rPh>
    <rPh sb="18" eb="20">
      <t>ゲンエン</t>
    </rPh>
    <phoneticPr fontId="1"/>
  </si>
  <si>
    <t>チョコクッキー・バニラ48/0.1</t>
    <phoneticPr fontId="1"/>
  </si>
  <si>
    <t>ゼリー（オレンジ）70</t>
    <phoneticPr fontId="1"/>
  </si>
  <si>
    <t>ゼリー（コーヒー）45</t>
    <phoneticPr fontId="1"/>
  </si>
  <si>
    <t>ゼリー（梅入り）推定54.25</t>
    <rPh sb="4" eb="5">
      <t>ウメ</t>
    </rPh>
    <rPh sb="5" eb="6">
      <t>イ</t>
    </rPh>
    <rPh sb="8" eb="10">
      <t>スイテイ</t>
    </rPh>
    <phoneticPr fontId="1"/>
  </si>
  <si>
    <t>ゼリー（ブドウ入り）推定68.53</t>
    <rPh sb="7" eb="8">
      <t>イ</t>
    </rPh>
    <rPh sb="10" eb="12">
      <t>スイテイ</t>
    </rPh>
    <phoneticPr fontId="1"/>
  </si>
  <si>
    <t>便秘</t>
    <rPh sb="0" eb="2">
      <t>ベンピ</t>
    </rPh>
    <phoneticPr fontId="1"/>
  </si>
  <si>
    <t>座薬</t>
    <rPh sb="0" eb="2">
      <t>ザヤク</t>
    </rPh>
    <phoneticPr fontId="1"/>
  </si>
  <si>
    <r>
      <t>ソーメン</t>
    </r>
    <r>
      <rPr>
        <b/>
        <sz val="8"/>
        <color theme="1"/>
        <rFont val="ＭＳ Ｐゴシック"/>
        <family val="3"/>
        <charset val="128"/>
        <scheme val="minor"/>
      </rPr>
      <t>(揖保の糸・乾麺)332減塩</t>
    </r>
    <rPh sb="5" eb="7">
      <t>イボ</t>
    </rPh>
    <rPh sb="8" eb="9">
      <t>イト</t>
    </rPh>
    <rPh sb="10" eb="12">
      <t>カンメン</t>
    </rPh>
    <rPh sb="16" eb="18">
      <t>ゲンエン</t>
    </rPh>
    <phoneticPr fontId="1"/>
  </si>
  <si>
    <t>お好み焼き粉344</t>
    <rPh sb="1" eb="2">
      <t>コノ</t>
    </rPh>
    <rPh sb="3" eb="4">
      <t>ヤ</t>
    </rPh>
    <rPh sb="5" eb="6">
      <t>コ</t>
    </rPh>
    <phoneticPr fontId="1"/>
  </si>
  <si>
    <t>紅生姜</t>
    <rPh sb="0" eb="1">
      <t>ベニ</t>
    </rPh>
    <rPh sb="1" eb="3">
      <t>ショウガ</t>
    </rPh>
    <phoneticPr fontId="1"/>
  </si>
  <si>
    <t>ゼリー（メロンピュア）推定</t>
    <rPh sb="11" eb="13">
      <t>スイテイ</t>
    </rPh>
    <phoneticPr fontId="1"/>
  </si>
  <si>
    <t>とうがらし（葉・果実・生）</t>
    <rPh sb="6" eb="7">
      <t>ハ</t>
    </rPh>
    <rPh sb="8" eb="10">
      <t>カジツ</t>
    </rPh>
    <rPh sb="11" eb="12">
      <t>ナマ</t>
    </rPh>
    <phoneticPr fontId="1"/>
  </si>
  <si>
    <r>
      <t>そば</t>
    </r>
    <r>
      <rPr>
        <b/>
        <sz val="6"/>
        <color theme="1"/>
        <rFont val="ＭＳ Ｐゴシック"/>
        <family val="3"/>
        <charset val="128"/>
        <scheme val="minor"/>
      </rPr>
      <t>(北の年輪・田舎そば)</t>
    </r>
    <r>
      <rPr>
        <b/>
        <sz val="11"/>
        <color theme="1"/>
        <rFont val="ＭＳ Ｐゴシック"/>
        <family val="3"/>
        <charset val="128"/>
        <scheme val="minor"/>
      </rPr>
      <t>279</t>
    </r>
    <r>
      <rPr>
        <b/>
        <sz val="6"/>
        <color theme="1"/>
        <rFont val="ＭＳ Ｐゴシック"/>
        <family val="3"/>
        <charset val="128"/>
        <scheme val="minor"/>
      </rPr>
      <t>減塩</t>
    </r>
    <rPh sb="3" eb="4">
      <t>キタ</t>
    </rPh>
    <rPh sb="5" eb="7">
      <t>ネンリン</t>
    </rPh>
    <rPh sb="8" eb="10">
      <t>イナカ</t>
    </rPh>
    <rPh sb="16" eb="18">
      <t>ゲンエン</t>
    </rPh>
    <phoneticPr fontId="1"/>
  </si>
  <si>
    <t>くきわかめ・珍味10/0.1</t>
    <rPh sb="6" eb="8">
      <t>チンミ</t>
    </rPh>
    <phoneticPr fontId="1"/>
  </si>
  <si>
    <t>ポップコーン484</t>
    <phoneticPr fontId="1"/>
  </si>
  <si>
    <t>あさり（むきあさり）</t>
    <phoneticPr fontId="1"/>
  </si>
  <si>
    <r>
      <t>カレー・ルウ（</t>
    </r>
    <r>
      <rPr>
        <b/>
        <sz val="6"/>
        <color theme="1"/>
        <rFont val="ＭＳ Ｐゴシック"/>
        <family val="3"/>
        <charset val="128"/>
        <scheme val="minor"/>
      </rPr>
      <t>こくまろ</t>
    </r>
    <r>
      <rPr>
        <b/>
        <sz val="9"/>
        <color theme="1"/>
        <rFont val="ＭＳ Ｐゴシック"/>
        <family val="3"/>
        <charset val="128"/>
        <scheme val="minor"/>
      </rPr>
      <t>・中辛）90/0.175</t>
    </r>
    <rPh sb="12" eb="14">
      <t>チュウカラ</t>
    </rPh>
    <phoneticPr fontId="1"/>
  </si>
  <si>
    <t>米粉</t>
    <rPh sb="0" eb="1">
      <t>コメ</t>
    </rPh>
    <rPh sb="1" eb="2">
      <t>コ</t>
    </rPh>
    <phoneticPr fontId="1"/>
  </si>
  <si>
    <t>うぐいす豆（落花生）推定435</t>
    <rPh sb="4" eb="5">
      <t>マメ</t>
    </rPh>
    <rPh sb="6" eb="9">
      <t>ラッカセイ</t>
    </rPh>
    <rPh sb="10" eb="12">
      <t>スイテイ</t>
    </rPh>
    <phoneticPr fontId="1"/>
  </si>
  <si>
    <t>黒砂糖</t>
    <rPh sb="0" eb="1">
      <t>クロ</t>
    </rPh>
    <rPh sb="1" eb="3">
      <t>サトウ</t>
    </rPh>
    <phoneticPr fontId="1"/>
  </si>
  <si>
    <t>こんぶ飴()推定15/0.045</t>
    <rPh sb="3" eb="4">
      <t>アメ</t>
    </rPh>
    <rPh sb="6" eb="8">
      <t>スイテイ</t>
    </rPh>
    <phoneticPr fontId="1"/>
  </si>
  <si>
    <t>こんぶ飴(ゴマ味)推定15/0.045</t>
    <rPh sb="3" eb="4">
      <t>アメ</t>
    </rPh>
    <rPh sb="7" eb="8">
      <t>アジ</t>
    </rPh>
    <rPh sb="9" eb="11">
      <t>スイテイ</t>
    </rPh>
    <phoneticPr fontId="1"/>
  </si>
  <si>
    <t>こんぶ飴(抹茶味)推定15/0.045</t>
    <rPh sb="3" eb="4">
      <t>アメ</t>
    </rPh>
    <rPh sb="5" eb="7">
      <t>マッチャ</t>
    </rPh>
    <rPh sb="7" eb="8">
      <t>アジ</t>
    </rPh>
    <rPh sb="9" eb="11">
      <t>スイテイ</t>
    </rPh>
    <phoneticPr fontId="1"/>
  </si>
  <si>
    <t>おこし(お好み)推定459</t>
    <rPh sb="5" eb="6">
      <t>コノ</t>
    </rPh>
    <rPh sb="8" eb="10">
      <t>スイテイ</t>
    </rPh>
    <phoneticPr fontId="1"/>
  </si>
  <si>
    <t>おこし推定380</t>
    <rPh sb="3" eb="5">
      <t>スイテイ</t>
    </rPh>
    <phoneticPr fontId="1"/>
  </si>
  <si>
    <t>～3～</t>
    <phoneticPr fontId="1"/>
  </si>
  <si>
    <t>sheet.p4</t>
    <phoneticPr fontId="1"/>
  </si>
  <si>
    <t>～4～</t>
    <phoneticPr fontId="1"/>
  </si>
  <si>
    <t>sheet.p5</t>
    <phoneticPr fontId="1"/>
  </si>
  <si>
    <t>ラーメン(冷やし生)茹減塩289/1.1</t>
    <rPh sb="5" eb="6">
      <t>ヒ</t>
    </rPh>
    <rPh sb="8" eb="9">
      <t>ナマ</t>
    </rPh>
    <rPh sb="10" eb="11">
      <t>ユ</t>
    </rPh>
    <rPh sb="11" eb="13">
      <t>ゲンエン</t>
    </rPh>
    <phoneticPr fontId="1"/>
  </si>
  <si>
    <t>ロースハム(スライス)88/0.6</t>
    <phoneticPr fontId="1"/>
  </si>
  <si>
    <t>栗（薄渋皮付むき）175</t>
    <rPh sb="0" eb="1">
      <t>クリ</t>
    </rPh>
    <rPh sb="2" eb="3">
      <t>ウス</t>
    </rPh>
    <rPh sb="3" eb="5">
      <t>シブカワ</t>
    </rPh>
    <rPh sb="5" eb="6">
      <t>ツキ</t>
    </rPh>
    <phoneticPr fontId="1"/>
  </si>
  <si>
    <t>栗（薄渋皮付むき）推定175</t>
    <rPh sb="0" eb="1">
      <t>クリ</t>
    </rPh>
    <rPh sb="2" eb="3">
      <t>ウス</t>
    </rPh>
    <rPh sb="3" eb="5">
      <t>シブカワ</t>
    </rPh>
    <rPh sb="5" eb="6">
      <t>ツキ</t>
    </rPh>
    <rPh sb="9" eb="11">
      <t>スイテイ</t>
    </rPh>
    <phoneticPr fontId="1"/>
  </si>
  <si>
    <t>黒豆（煮豆）176</t>
    <rPh sb="0" eb="2">
      <t>クロマメ</t>
    </rPh>
    <rPh sb="3" eb="5">
      <t>ニマメ</t>
    </rPh>
    <phoneticPr fontId="1"/>
  </si>
  <si>
    <t>爆裂コーン（推定）408</t>
    <rPh sb="0" eb="2">
      <t>バクレツ</t>
    </rPh>
    <rPh sb="6" eb="8">
      <t>スイテイ</t>
    </rPh>
    <phoneticPr fontId="1"/>
  </si>
  <si>
    <t>きな粉棒（一般的）387</t>
    <rPh sb="2" eb="3">
      <t>コ</t>
    </rPh>
    <rPh sb="3" eb="4">
      <t>ボウ</t>
    </rPh>
    <rPh sb="5" eb="7">
      <t>イッパン</t>
    </rPh>
    <rPh sb="7" eb="8">
      <t>テキ</t>
    </rPh>
    <phoneticPr fontId="1"/>
  </si>
  <si>
    <t>酢の物（わかめ・キュウリ）9/5</t>
    <rPh sb="0" eb="3">
      <t>スノモノ</t>
    </rPh>
    <phoneticPr fontId="1"/>
  </si>
  <si>
    <t>ねこんぶだし（日高）27</t>
    <rPh sb="7" eb="9">
      <t>ヒダカ</t>
    </rPh>
    <phoneticPr fontId="1"/>
  </si>
  <si>
    <t>ベーコン（切り落とし）186</t>
    <rPh sb="5" eb="6">
      <t>キ</t>
    </rPh>
    <rPh sb="7" eb="8">
      <t>オ</t>
    </rPh>
    <phoneticPr fontId="1"/>
  </si>
  <si>
    <t>さつまチップ（菓子）460</t>
    <rPh sb="7" eb="9">
      <t>カシ</t>
    </rPh>
    <phoneticPr fontId="1"/>
  </si>
  <si>
    <t>豆腐(もめん)72</t>
    <rPh sb="0" eb="2">
      <t>トウフ</t>
    </rPh>
    <phoneticPr fontId="1"/>
  </si>
  <si>
    <t>カマボコ（ピュアふぶき）76</t>
    <phoneticPr fontId="1"/>
  </si>
  <si>
    <t>野菜・カマボコ・サラダ9/8</t>
    <rPh sb="0" eb="2">
      <t>ヤサイ</t>
    </rPh>
    <phoneticPr fontId="1"/>
  </si>
  <si>
    <t>ラーメン(外食・白味噌)推定9/8</t>
    <rPh sb="5" eb="7">
      <t>ガイショク</t>
    </rPh>
    <rPh sb="8" eb="9">
      <t>シロ</t>
    </rPh>
    <rPh sb="9" eb="11">
      <t>ミソ</t>
    </rPh>
    <rPh sb="12" eb="14">
      <t>スイテイ</t>
    </rPh>
    <phoneticPr fontId="1"/>
  </si>
  <si>
    <t>生おげ158</t>
    <rPh sb="0" eb="1">
      <t>セイ</t>
    </rPh>
    <phoneticPr fontId="1"/>
  </si>
  <si>
    <t>水羊羹（井村屋）102/0.62</t>
    <rPh sb="0" eb="1">
      <t>ミズ</t>
    </rPh>
    <rPh sb="1" eb="3">
      <t>ヨウカン</t>
    </rPh>
    <rPh sb="4" eb="7">
      <t>イムラヤ</t>
    </rPh>
    <phoneticPr fontId="1"/>
  </si>
  <si>
    <t>粥9/12作</t>
    <rPh sb="0" eb="1">
      <t>カユ</t>
    </rPh>
    <rPh sb="5" eb="6">
      <t>サク</t>
    </rPh>
    <phoneticPr fontId="1"/>
  </si>
  <si>
    <t>おさつ（スナック）316/0.6</t>
    <phoneticPr fontId="1"/>
  </si>
  <si>
    <t>納豆（小粒・十勝）80/0.4</t>
    <rPh sb="0" eb="2">
      <t>ナットウ</t>
    </rPh>
    <rPh sb="3" eb="5">
      <t>コツブ</t>
    </rPh>
    <rPh sb="6" eb="8">
      <t>トカチ</t>
    </rPh>
    <phoneticPr fontId="1"/>
  </si>
  <si>
    <t>納豆（小粒・十勝）のたれ4/0.046</t>
    <rPh sb="0" eb="2">
      <t>ナットウ</t>
    </rPh>
    <rPh sb="3" eb="5">
      <t>コツブ</t>
    </rPh>
    <rPh sb="6" eb="8">
      <t>トカチ</t>
    </rPh>
    <phoneticPr fontId="1"/>
  </si>
  <si>
    <t>こんぶだし（日高）27</t>
    <rPh sb="6" eb="8">
      <t>ヒダカ</t>
    </rPh>
    <phoneticPr fontId="1"/>
  </si>
  <si>
    <t>トマトケチャップ120</t>
    <phoneticPr fontId="1"/>
  </si>
  <si>
    <t>刺身9/13</t>
    <rPh sb="0" eb="2">
      <t>サシミ</t>
    </rPh>
    <phoneticPr fontId="1"/>
  </si>
  <si>
    <t>うどん（乾麺）茹減塩</t>
    <rPh sb="4" eb="6">
      <t>カンメン</t>
    </rPh>
    <rPh sb="7" eb="8">
      <t>ユ</t>
    </rPh>
    <rPh sb="8" eb="10">
      <t>ゲンエン</t>
    </rPh>
    <phoneticPr fontId="1"/>
  </si>
  <si>
    <t>ざるそば汁（キッコーマン）49</t>
    <rPh sb="4" eb="5">
      <t>ツユ</t>
    </rPh>
    <phoneticPr fontId="1"/>
  </si>
  <si>
    <t>味噌汁9/14作</t>
    <rPh sb="0" eb="3">
      <t>ミソシル</t>
    </rPh>
    <rPh sb="7" eb="8">
      <t>サク</t>
    </rPh>
    <phoneticPr fontId="1"/>
  </si>
  <si>
    <t>ささげ油炒め9/14</t>
    <rPh sb="3" eb="5">
      <t>アブライタ</t>
    </rPh>
    <phoneticPr fontId="1"/>
  </si>
  <si>
    <t>身欠きにしん（生干）焼推定231</t>
    <rPh sb="0" eb="2">
      <t>ミガ</t>
    </rPh>
    <rPh sb="7" eb="8">
      <t>ナマ</t>
    </rPh>
    <rPh sb="8" eb="9">
      <t>ホ</t>
    </rPh>
    <rPh sb="10" eb="11">
      <t>ヤ</t>
    </rPh>
    <rPh sb="11" eb="13">
      <t>スイテイ</t>
    </rPh>
    <phoneticPr fontId="1"/>
  </si>
  <si>
    <t>味噌汁9/16の具・昼食</t>
    <rPh sb="0" eb="3">
      <t>ミソシル</t>
    </rPh>
    <rPh sb="8" eb="9">
      <t>グ</t>
    </rPh>
    <rPh sb="10" eb="12">
      <t>チュウショク</t>
    </rPh>
    <phoneticPr fontId="1"/>
  </si>
  <si>
    <t>味噌汁9/16の具・夕食</t>
    <rPh sb="0" eb="3">
      <t>ミソシル</t>
    </rPh>
    <rPh sb="8" eb="9">
      <t>グ</t>
    </rPh>
    <rPh sb="10" eb="12">
      <t>ユウショク</t>
    </rPh>
    <phoneticPr fontId="1"/>
  </si>
  <si>
    <t>粥9/17作</t>
    <rPh sb="0" eb="1">
      <t>カユ</t>
    </rPh>
    <rPh sb="5" eb="6">
      <t>サク</t>
    </rPh>
    <phoneticPr fontId="1"/>
  </si>
  <si>
    <t>切干大根・天ぷら・玉葱炒め9/18</t>
    <rPh sb="0" eb="2">
      <t>キリボシ</t>
    </rPh>
    <rPh sb="2" eb="4">
      <t>ダイコン</t>
    </rPh>
    <rPh sb="5" eb="6">
      <t>テン</t>
    </rPh>
    <rPh sb="9" eb="11">
      <t>タマネギ</t>
    </rPh>
    <rPh sb="11" eb="12">
      <t>イタ</t>
    </rPh>
    <phoneticPr fontId="1"/>
  </si>
  <si>
    <t>チーズピット（スナック）255/0.5</t>
    <phoneticPr fontId="1"/>
  </si>
  <si>
    <t>ポリンキー（スナック）339/0.65</t>
    <phoneticPr fontId="1"/>
  </si>
  <si>
    <t>切干大根・天ぷら・玉葱炒め9/20</t>
    <rPh sb="0" eb="2">
      <t>キリボシ</t>
    </rPh>
    <rPh sb="2" eb="4">
      <t>ダイコン</t>
    </rPh>
    <rPh sb="5" eb="6">
      <t>テン</t>
    </rPh>
    <rPh sb="9" eb="11">
      <t>タマネギ</t>
    </rPh>
    <rPh sb="11" eb="12">
      <t>イタ</t>
    </rPh>
    <phoneticPr fontId="1"/>
  </si>
  <si>
    <t>茎わかめ（梅味・カンロ）24/0.21</t>
    <rPh sb="0" eb="1">
      <t>クキ</t>
    </rPh>
    <rPh sb="5" eb="6">
      <t>ウメ</t>
    </rPh>
    <rPh sb="6" eb="7">
      <t>アジ</t>
    </rPh>
    <phoneticPr fontId="1"/>
  </si>
  <si>
    <t>和菓子・百歳(六花亭)234/0.3</t>
    <rPh sb="0" eb="3">
      <t>ワガシ</t>
    </rPh>
    <rPh sb="4" eb="6">
      <t>１００サイ</t>
    </rPh>
    <rPh sb="7" eb="8">
      <t>６</t>
    </rPh>
    <rPh sb="8" eb="9">
      <t>ハナ</t>
    </rPh>
    <rPh sb="9" eb="10">
      <t>テイ</t>
    </rPh>
    <phoneticPr fontId="1"/>
  </si>
  <si>
    <t>和菓子・五家宝(菓子)375</t>
    <rPh sb="0" eb="3">
      <t>ワガシ</t>
    </rPh>
    <rPh sb="4" eb="5">
      <t>５</t>
    </rPh>
    <rPh sb="5" eb="7">
      <t>カホウ</t>
    </rPh>
    <rPh sb="8" eb="10">
      <t>カシ</t>
    </rPh>
    <phoneticPr fontId="1"/>
  </si>
  <si>
    <t>和菓子・七福豆534/1.2</t>
    <rPh sb="0" eb="3">
      <t>ワガシ</t>
    </rPh>
    <rPh sb="4" eb="5">
      <t>７</t>
    </rPh>
    <rPh sb="5" eb="6">
      <t>フク</t>
    </rPh>
    <rPh sb="6" eb="7">
      <t>マメ</t>
    </rPh>
    <phoneticPr fontId="1"/>
  </si>
  <si>
    <t>きなこねじり（菓子・三温糖）</t>
    <rPh sb="7" eb="9">
      <t>カシ</t>
    </rPh>
    <rPh sb="10" eb="11">
      <t>サン</t>
    </rPh>
    <rPh sb="11" eb="12">
      <t>オン</t>
    </rPh>
    <rPh sb="12" eb="13">
      <t>トウ</t>
    </rPh>
    <phoneticPr fontId="1"/>
  </si>
  <si>
    <t>味噌汁・9/21作</t>
    <rPh sb="0" eb="3">
      <t>ミソシル</t>
    </rPh>
    <rPh sb="8" eb="9">
      <t>サク</t>
    </rPh>
    <phoneticPr fontId="1"/>
  </si>
  <si>
    <t>甘栗（クラシエ）136/0.75</t>
    <rPh sb="0" eb="2">
      <t>アマグリ</t>
    </rPh>
    <phoneticPr fontId="1"/>
  </si>
  <si>
    <t>水ようかん(井村屋)102/0.62</t>
    <rPh sb="0" eb="1">
      <t>ミズ</t>
    </rPh>
    <rPh sb="6" eb="9">
      <t>イムラヤ</t>
    </rPh>
    <phoneticPr fontId="1"/>
  </si>
  <si>
    <t>ショートブレンド(ビスケット)</t>
    <phoneticPr fontId="1"/>
  </si>
  <si>
    <t>ビスケット(ゴマ英字)</t>
    <rPh sb="8" eb="10">
      <t>エイジ</t>
    </rPh>
    <phoneticPr fontId="1"/>
  </si>
  <si>
    <t>そば(乾麺・幌加内)茹減塩</t>
    <rPh sb="3" eb="5">
      <t>カンメン</t>
    </rPh>
    <rPh sb="6" eb="9">
      <t>ホロカナイ</t>
    </rPh>
    <rPh sb="10" eb="11">
      <t>ユ</t>
    </rPh>
    <rPh sb="11" eb="13">
      <t>ゲンエン</t>
    </rPh>
    <phoneticPr fontId="1"/>
  </si>
  <si>
    <t>五目釜飯の具194/3.03</t>
    <rPh sb="0" eb="2">
      <t>ゴモク</t>
    </rPh>
    <rPh sb="2" eb="4">
      <t>カマメシ</t>
    </rPh>
    <rPh sb="5" eb="6">
      <t>グ</t>
    </rPh>
    <phoneticPr fontId="1"/>
  </si>
  <si>
    <t>黒糖くるみ(豆菓子)550</t>
    <rPh sb="0" eb="2">
      <t>コクトウ</t>
    </rPh>
    <rPh sb="6" eb="7">
      <t>マメ</t>
    </rPh>
    <rPh sb="7" eb="9">
      <t>カシ</t>
    </rPh>
    <phoneticPr fontId="1"/>
  </si>
  <si>
    <t>うどん(半生・日の出麺)茹減塩</t>
    <rPh sb="4" eb="6">
      <t>ハンナマ</t>
    </rPh>
    <rPh sb="7" eb="8">
      <t>ヒ</t>
    </rPh>
    <rPh sb="9" eb="10">
      <t>デ</t>
    </rPh>
    <rPh sb="10" eb="11">
      <t>メン</t>
    </rPh>
    <rPh sb="12" eb="13">
      <t>ユ</t>
    </rPh>
    <rPh sb="13" eb="15">
      <t>ゲンエン</t>
    </rPh>
    <phoneticPr fontId="1"/>
  </si>
  <si>
    <t>クッキー(特濃ミルク)36/0.067</t>
    <rPh sb="5" eb="6">
      <t>トク</t>
    </rPh>
    <rPh sb="6" eb="7">
      <t>ノウ</t>
    </rPh>
    <phoneticPr fontId="1"/>
  </si>
  <si>
    <t>にら（葉・茹で）</t>
    <rPh sb="3" eb="4">
      <t>ハ</t>
    </rPh>
    <rPh sb="5" eb="6">
      <t>ユ</t>
    </rPh>
    <phoneticPr fontId="1"/>
  </si>
  <si>
    <t>健康菓集（菓子）</t>
    <rPh sb="0" eb="2">
      <t>ケンコウ</t>
    </rPh>
    <rPh sb="2" eb="3">
      <t>カ</t>
    </rPh>
    <rPh sb="3" eb="4">
      <t>シュウ</t>
    </rPh>
    <rPh sb="5" eb="7">
      <t>カシ</t>
    </rPh>
    <phoneticPr fontId="1"/>
  </si>
  <si>
    <t>干しいも（黄金さつま）332</t>
    <rPh sb="0" eb="1">
      <t>ホ</t>
    </rPh>
    <rPh sb="5" eb="7">
      <t>オウゴン</t>
    </rPh>
    <phoneticPr fontId="1"/>
  </si>
  <si>
    <t>マシュマロ（ホワイト）270/0.8</t>
    <phoneticPr fontId="1"/>
  </si>
  <si>
    <t>栗まんじゅう583/1.76</t>
    <rPh sb="0" eb="1">
      <t>クリ</t>
    </rPh>
    <phoneticPr fontId="1"/>
  </si>
  <si>
    <t>昆布醤油（キッコーマン）11/0.15</t>
    <rPh sb="0" eb="2">
      <t>コンブ</t>
    </rPh>
    <rPh sb="2" eb="4">
      <t>ショウユ</t>
    </rPh>
    <phoneticPr fontId="1"/>
  </si>
  <si>
    <t>甘納豆（半生菓子）57/0.12</t>
    <rPh sb="0" eb="3">
      <t>アマナットウ</t>
    </rPh>
    <rPh sb="4" eb="5">
      <t>ハン</t>
    </rPh>
    <rPh sb="5" eb="8">
      <t>ナマガシ</t>
    </rPh>
    <phoneticPr fontId="1"/>
  </si>
  <si>
    <t>紫芋ちっぷ476</t>
    <rPh sb="0" eb="1">
      <t>ムラサキ</t>
    </rPh>
    <rPh sb="1" eb="2">
      <t>イモ</t>
    </rPh>
    <phoneticPr fontId="1"/>
  </si>
  <si>
    <t>芋ちっぷ468</t>
    <rPh sb="0" eb="1">
      <t>イモ</t>
    </rPh>
    <phoneticPr fontId="1"/>
  </si>
  <si>
    <t>ワッフル・カスタードクリーム252</t>
    <phoneticPr fontId="1"/>
  </si>
  <si>
    <t>桃山（菓子）302</t>
    <rPh sb="0" eb="2">
      <t>モモヤマ</t>
    </rPh>
    <rPh sb="3" eb="5">
      <t>カシ</t>
    </rPh>
    <phoneticPr fontId="1"/>
  </si>
  <si>
    <t>マカロニ（乾・日清）358</t>
    <rPh sb="5" eb="6">
      <t>カン</t>
    </rPh>
    <rPh sb="7" eb="8">
      <t>ニチ</t>
    </rPh>
    <rPh sb="8" eb="9">
      <t>セイ</t>
    </rPh>
    <phoneticPr fontId="1"/>
  </si>
  <si>
    <t>カルケット96/0.225</t>
    <phoneticPr fontId="1"/>
  </si>
  <si>
    <t>アーモンドと繊維(栄養調整)124/0.3</t>
    <rPh sb="6" eb="8">
      <t>センイ</t>
    </rPh>
    <rPh sb="9" eb="11">
      <t>エイヨウ</t>
    </rPh>
    <rPh sb="11" eb="13">
      <t>チョウセイ</t>
    </rPh>
    <phoneticPr fontId="1"/>
  </si>
  <si>
    <t>醤油(丸大豆・キッコーマン)15/0.15</t>
    <rPh sb="0" eb="2">
      <t>ショウユ</t>
    </rPh>
    <rPh sb="3" eb="4">
      <t>マル</t>
    </rPh>
    <rPh sb="4" eb="6">
      <t>ダイズ</t>
    </rPh>
    <phoneticPr fontId="1"/>
  </si>
</sst>
</file>

<file path=xl/styles.xml><?xml version="1.0" encoding="utf-8"?>
<styleSheet xmlns="http://schemas.openxmlformats.org/spreadsheetml/2006/main">
  <numFmts count="15">
    <numFmt numFmtId="176" formatCode="0.00_);[Red]\(0.00\)"/>
    <numFmt numFmtId="177" formatCode="0.00_ "/>
    <numFmt numFmtId="178" formatCode="0_ "/>
    <numFmt numFmtId="179" formatCode="0_);[Red]\(0\)"/>
    <numFmt numFmtId="180" formatCode="0.0_);[Red]\(0.0\)"/>
    <numFmt numFmtId="181" formatCode="m&quot;月&quot;d&quot;日&quot;&quot;作&quot;&quot;・&quot;&quot;粥&quot;"/>
    <numFmt numFmtId="182" formatCode="m&quot;月&quot;d&quot;日&quot;&quot;朝&quot;&quot;食&quot;"/>
    <numFmt numFmtId="183" formatCode="m&quot;月&quot;d&quot;日&quot;&quot;作&quot;&quot;・&quot;&quot;味&quot;&quot;噌&quot;&quot;汁&quot;"/>
    <numFmt numFmtId="184" formatCode="[$-411]ge\.m\.d;@"/>
    <numFmt numFmtId="185" formatCode="0.00_)&quot;以&quot;&quot;上&quot;;[Red]\(0.00\)"/>
    <numFmt numFmtId="186" formatCode="0.0_ "/>
    <numFmt numFmtId="187" formatCode="0.0%"/>
    <numFmt numFmtId="188" formatCode="0_ &quot;㌘&quot;&quot;当&quot;&quot;た&quot;&quot;り&quot;"/>
    <numFmt numFmtId="189" formatCode="m&quot;月&quot;d&quot;日&quot;&quot;昼&quot;&quot;食&quot;"/>
    <numFmt numFmtId="190" formatCode="m&quot;月&quot;d&quot;日&quot;&quot;夕&quot;&quot;食&quot;"/>
  </numFmts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8"/>
      <color rgb="FF00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6"/>
      <color rgb="FF000000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6"/>
      <color rgb="FF00B0F0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sz val="11"/>
      <color theme="1"/>
      <name val="AR PＰＯＰ体B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B050"/>
      </left>
      <right style="thin">
        <color indexed="64"/>
      </right>
      <top style="medium">
        <color rgb="FF00B050"/>
      </top>
      <bottom style="medium">
        <color rgb="FF00B050"/>
      </bottom>
      <diagonal/>
    </border>
    <border>
      <left style="thin">
        <color indexed="64"/>
      </left>
      <right style="thin">
        <color indexed="64"/>
      </right>
      <top style="medium">
        <color rgb="FF00B050"/>
      </top>
      <bottom style="medium">
        <color rgb="FF00B050"/>
      </bottom>
      <diagonal/>
    </border>
    <border>
      <left style="thin">
        <color indexed="64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7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6" fillId="0" borderId="1" xfId="0" applyFont="1" applyBorder="1">
      <alignment vertical="center"/>
    </xf>
    <xf numFmtId="178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9" fontId="0" fillId="0" borderId="1" xfId="0" applyNumberFormat="1" applyFont="1" applyBorder="1">
      <alignment vertical="center"/>
    </xf>
    <xf numFmtId="176" fontId="6" fillId="0" borderId="1" xfId="0" applyNumberFormat="1" applyFont="1" applyBorder="1" applyAlignment="1">
      <alignment vertical="center"/>
    </xf>
    <xf numFmtId="178" fontId="6" fillId="0" borderId="1" xfId="0" applyNumberFormat="1" applyFont="1" applyBorder="1">
      <alignment vertical="center"/>
    </xf>
    <xf numFmtId="177" fontId="6" fillId="0" borderId="1" xfId="0" applyNumberFormat="1" applyFont="1" applyBorder="1">
      <alignment vertical="center"/>
    </xf>
    <xf numFmtId="178" fontId="0" fillId="0" borderId="1" xfId="0" applyNumberFormat="1" applyFont="1" applyBorder="1">
      <alignment vertical="center"/>
    </xf>
    <xf numFmtId="0" fontId="13" fillId="0" borderId="1" xfId="0" applyFont="1" applyBorder="1">
      <alignment vertical="center"/>
    </xf>
    <xf numFmtId="0" fontId="6" fillId="0" borderId="0" xfId="0" applyFont="1">
      <alignment vertical="center"/>
    </xf>
    <xf numFmtId="0" fontId="3" fillId="0" borderId="1" xfId="0" applyFont="1" applyBorder="1">
      <alignment vertical="center"/>
    </xf>
    <xf numFmtId="178" fontId="0" fillId="0" borderId="2" xfId="0" applyNumberFormat="1" applyBorder="1">
      <alignment vertical="center"/>
    </xf>
    <xf numFmtId="177" fontId="0" fillId="0" borderId="2" xfId="0" applyNumberFormat="1" applyBorder="1">
      <alignment vertical="center"/>
    </xf>
    <xf numFmtId="176" fontId="0" fillId="0" borderId="1" xfId="0" applyNumberFormat="1" applyBorder="1">
      <alignment vertical="center"/>
    </xf>
    <xf numFmtId="0" fontId="10" fillId="0" borderId="1" xfId="0" applyFont="1" applyBorder="1">
      <alignment vertical="center"/>
    </xf>
    <xf numFmtId="0" fontId="0" fillId="0" borderId="1" xfId="0" applyBorder="1" applyAlignment="1">
      <alignment horizontal="right" vertical="center"/>
    </xf>
    <xf numFmtId="178" fontId="0" fillId="0" borderId="3" xfId="0" applyNumberFormat="1" applyBorder="1">
      <alignment vertical="center"/>
    </xf>
    <xf numFmtId="177" fontId="0" fillId="0" borderId="3" xfId="0" applyNumberFormat="1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NumberFormat="1" applyBorder="1">
      <alignment vertical="center"/>
    </xf>
    <xf numFmtId="184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178" fontId="0" fillId="0" borderId="13" xfId="0" applyNumberFormat="1" applyBorder="1">
      <alignment vertical="center"/>
    </xf>
    <xf numFmtId="177" fontId="0" fillId="0" borderId="14" xfId="0" applyNumberFormat="1" applyBorder="1">
      <alignment vertical="center"/>
    </xf>
    <xf numFmtId="185" fontId="3" fillId="0" borderId="14" xfId="0" applyNumberFormat="1" applyFont="1" applyFill="1" applyBorder="1">
      <alignment vertical="center"/>
    </xf>
    <xf numFmtId="185" fontId="3" fillId="0" borderId="15" xfId="0" applyNumberFormat="1" applyFont="1" applyFill="1" applyBorder="1">
      <alignment vertical="center"/>
    </xf>
    <xf numFmtId="176" fontId="0" fillId="0" borderId="16" xfId="0" applyNumberFormat="1" applyFill="1" applyBorder="1">
      <alignment vertical="center"/>
    </xf>
    <xf numFmtId="186" fontId="6" fillId="0" borderId="17" xfId="0" applyNumberFormat="1" applyFont="1" applyBorder="1" applyAlignment="1">
      <alignment vertical="center"/>
    </xf>
    <xf numFmtId="0" fontId="15" fillId="0" borderId="11" xfId="0" applyFont="1" applyBorder="1">
      <alignment vertical="center"/>
    </xf>
    <xf numFmtId="187" fontId="15" fillId="0" borderId="18" xfId="0" applyNumberFormat="1" applyFont="1" applyBorder="1">
      <alignment vertical="center"/>
    </xf>
    <xf numFmtId="178" fontId="0" fillId="0" borderId="19" xfId="0" applyNumberFormat="1" applyBorder="1">
      <alignment vertical="center"/>
    </xf>
    <xf numFmtId="177" fontId="0" fillId="0" borderId="20" xfId="0" applyNumberFormat="1" applyBorder="1">
      <alignment vertical="center"/>
    </xf>
    <xf numFmtId="185" fontId="3" fillId="0" borderId="20" xfId="0" applyNumberFormat="1" applyFont="1" applyFill="1" applyBorder="1">
      <alignment vertical="center"/>
    </xf>
    <xf numFmtId="185" fontId="3" fillId="0" borderId="21" xfId="0" applyNumberFormat="1" applyFont="1" applyFill="1" applyBorder="1">
      <alignment vertical="center"/>
    </xf>
    <xf numFmtId="176" fontId="0" fillId="0" borderId="22" xfId="0" applyNumberFormat="1" applyFill="1" applyBorder="1">
      <alignment vertical="center"/>
    </xf>
    <xf numFmtId="186" fontId="6" fillId="0" borderId="23" xfId="0" applyNumberFormat="1" applyFont="1" applyBorder="1" applyAlignment="1">
      <alignment vertical="center"/>
    </xf>
    <xf numFmtId="0" fontId="15" fillId="0" borderId="24" xfId="0" applyFont="1" applyBorder="1">
      <alignment vertical="center"/>
    </xf>
    <xf numFmtId="187" fontId="15" fillId="0" borderId="12" xfId="0" applyNumberFormat="1" applyFont="1" applyBorder="1">
      <alignment vertical="center"/>
    </xf>
    <xf numFmtId="0" fontId="13" fillId="0" borderId="1" xfId="0" applyFont="1" applyBorder="1" applyAlignment="1">
      <alignment horizontal="right" vertical="center"/>
    </xf>
    <xf numFmtId="0" fontId="14" fillId="0" borderId="12" xfId="0" applyFont="1" applyBorder="1">
      <alignment vertical="center"/>
    </xf>
    <xf numFmtId="0" fontId="15" fillId="0" borderId="12" xfId="0" applyFont="1" applyBorder="1">
      <alignment vertical="center"/>
    </xf>
    <xf numFmtId="178" fontId="10" fillId="0" borderId="19" xfId="0" applyNumberFormat="1" applyFont="1" applyBorder="1">
      <alignment vertical="center"/>
    </xf>
    <xf numFmtId="177" fontId="10" fillId="0" borderId="20" xfId="0" applyNumberFormat="1" applyFont="1" applyBorder="1">
      <alignment vertical="center"/>
    </xf>
    <xf numFmtId="185" fontId="16" fillId="0" borderId="20" xfId="0" applyNumberFormat="1" applyFont="1" applyBorder="1">
      <alignment vertical="center"/>
    </xf>
    <xf numFmtId="185" fontId="16" fillId="0" borderId="19" xfId="0" applyNumberFormat="1" applyFont="1" applyBorder="1">
      <alignment vertical="center"/>
    </xf>
    <xf numFmtId="176" fontId="10" fillId="0" borderId="19" xfId="0" applyNumberFormat="1" applyFont="1" applyBorder="1">
      <alignment vertical="center"/>
    </xf>
    <xf numFmtId="178" fontId="0" fillId="0" borderId="22" xfId="0" applyNumberFormat="1" applyBorder="1">
      <alignment vertical="center"/>
    </xf>
    <xf numFmtId="0" fontId="15" fillId="0" borderId="25" xfId="0" applyFont="1" applyBorder="1">
      <alignment vertical="center"/>
    </xf>
    <xf numFmtId="187" fontId="15" fillId="0" borderId="26" xfId="0" applyNumberFormat="1" applyFont="1" applyBorder="1">
      <alignment vertical="center"/>
    </xf>
    <xf numFmtId="180" fontId="10" fillId="0" borderId="0" xfId="0" applyNumberFormat="1" applyFont="1" applyBorder="1">
      <alignment vertical="center"/>
    </xf>
    <xf numFmtId="186" fontId="6" fillId="0" borderId="27" xfId="0" applyNumberFormat="1" applyFont="1" applyBorder="1" applyAlignment="1">
      <alignment vertical="center"/>
    </xf>
    <xf numFmtId="178" fontId="10" fillId="0" borderId="28" xfId="0" applyNumberFormat="1" applyFont="1" applyBorder="1">
      <alignment vertical="center"/>
    </xf>
    <xf numFmtId="177" fontId="10" fillId="0" borderId="29" xfId="0" applyNumberFormat="1" applyFont="1" applyBorder="1">
      <alignment vertical="center"/>
    </xf>
    <xf numFmtId="177" fontId="10" fillId="0" borderId="30" xfId="0" applyNumberFormat="1" applyFont="1" applyBorder="1">
      <alignment vertical="center"/>
    </xf>
    <xf numFmtId="185" fontId="16" fillId="0" borderId="30" xfId="0" applyNumberFormat="1" applyFont="1" applyBorder="1">
      <alignment vertical="center"/>
    </xf>
    <xf numFmtId="185" fontId="16" fillId="0" borderId="31" xfId="0" applyNumberFormat="1" applyFont="1" applyBorder="1">
      <alignment vertical="center"/>
    </xf>
    <xf numFmtId="176" fontId="10" fillId="0" borderId="32" xfId="0" applyNumberFormat="1" applyFont="1" applyBorder="1">
      <alignment vertical="center"/>
    </xf>
    <xf numFmtId="186" fontId="6" fillId="0" borderId="32" xfId="0" applyNumberFormat="1" applyFont="1" applyBorder="1" applyAlignment="1">
      <alignment vertical="center"/>
    </xf>
    <xf numFmtId="0" fontId="15" fillId="0" borderId="29" xfId="0" applyFont="1" applyBorder="1">
      <alignment vertical="center"/>
    </xf>
    <xf numFmtId="187" fontId="15" fillId="0" borderId="33" xfId="0" applyNumberFormat="1" applyFont="1" applyBorder="1">
      <alignment vertical="center"/>
    </xf>
    <xf numFmtId="178" fontId="0" fillId="0" borderId="0" xfId="0" applyNumberFormat="1">
      <alignment vertical="center"/>
    </xf>
    <xf numFmtId="185" fontId="3" fillId="0" borderId="0" xfId="0" applyNumberFormat="1" applyFont="1">
      <alignment vertical="center"/>
    </xf>
    <xf numFmtId="186" fontId="0" fillId="0" borderId="0" xfId="0" applyNumberFormat="1">
      <alignment vertical="center"/>
    </xf>
    <xf numFmtId="178" fontId="15" fillId="0" borderId="0" xfId="0" applyNumberFormat="1" applyFont="1">
      <alignment vertical="center"/>
    </xf>
    <xf numFmtId="187" fontId="15" fillId="0" borderId="0" xfId="0" applyNumberFormat="1" applyFont="1">
      <alignment vertical="center"/>
    </xf>
    <xf numFmtId="176" fontId="6" fillId="0" borderId="1" xfId="0" applyNumberFormat="1" applyFont="1" applyBorder="1">
      <alignment vertical="center"/>
    </xf>
    <xf numFmtId="0" fontId="3" fillId="0" borderId="0" xfId="0" applyFont="1">
      <alignment vertical="center"/>
    </xf>
    <xf numFmtId="0" fontId="13" fillId="0" borderId="0" xfId="0" applyFont="1">
      <alignment vertical="center"/>
    </xf>
    <xf numFmtId="176" fontId="13" fillId="0" borderId="1" xfId="0" applyNumberFormat="1" applyFont="1" applyBorder="1">
      <alignment vertical="center"/>
    </xf>
    <xf numFmtId="178" fontId="13" fillId="0" borderId="1" xfId="0" applyNumberFormat="1" applyFont="1" applyBorder="1">
      <alignment vertical="center"/>
    </xf>
    <xf numFmtId="177" fontId="13" fillId="0" borderId="1" xfId="0" applyNumberFormat="1" applyFont="1" applyBorder="1">
      <alignment vertical="center"/>
    </xf>
    <xf numFmtId="177" fontId="13" fillId="0" borderId="0" xfId="0" applyNumberFormat="1" applyFont="1">
      <alignment vertical="center"/>
    </xf>
    <xf numFmtId="0" fontId="13" fillId="0" borderId="0" xfId="0" applyFont="1" applyBorder="1">
      <alignment vertical="center"/>
    </xf>
    <xf numFmtId="178" fontId="13" fillId="0" borderId="0" xfId="0" applyNumberFormat="1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9" fontId="0" fillId="0" borderId="1" xfId="0" applyNumberFormat="1" applyBorder="1">
      <alignment vertical="center"/>
    </xf>
    <xf numFmtId="177" fontId="0" fillId="0" borderId="42" xfId="0" applyNumberFormat="1" applyBorder="1">
      <alignment vertical="center"/>
    </xf>
    <xf numFmtId="178" fontId="0" fillId="0" borderId="42" xfId="0" applyNumberFormat="1" applyBorder="1">
      <alignment vertical="center"/>
    </xf>
    <xf numFmtId="0" fontId="7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77" fontId="6" fillId="0" borderId="2" xfId="0" applyNumberFormat="1" applyFont="1" applyBorder="1">
      <alignment vertical="center"/>
    </xf>
    <xf numFmtId="176" fontId="6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1" fontId="6" fillId="0" borderId="1" xfId="0" applyNumberFormat="1" applyFont="1" applyBorder="1" applyAlignment="1">
      <alignment horizontal="center" vertical="center" wrapText="1"/>
    </xf>
    <xf numFmtId="183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82" fontId="0" fillId="0" borderId="0" xfId="0" applyNumberForma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78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56" fontId="0" fillId="0" borderId="0" xfId="0" applyNumberFormat="1">
      <alignment vertical="center"/>
    </xf>
    <xf numFmtId="176" fontId="13" fillId="0" borderId="0" xfId="0" applyNumberFormat="1" applyFont="1">
      <alignment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77" fontId="10" fillId="0" borderId="1" xfId="0" applyNumberFormat="1" applyFont="1" applyBorder="1" applyAlignment="1">
      <alignment vertical="center" wrapText="1"/>
    </xf>
    <xf numFmtId="176" fontId="6" fillId="0" borderId="1" xfId="0" applyNumberFormat="1" applyFont="1" applyFill="1" applyBorder="1" applyAlignment="1">
      <alignment vertical="center"/>
    </xf>
    <xf numFmtId="176" fontId="10" fillId="0" borderId="1" xfId="0" applyNumberFormat="1" applyFont="1" applyBorder="1" applyAlignment="1">
      <alignment vertical="center"/>
    </xf>
    <xf numFmtId="0" fontId="6" fillId="0" borderId="0" xfId="0" applyNumberFormat="1" applyFont="1">
      <alignment vertical="center"/>
    </xf>
    <xf numFmtId="0" fontId="0" fillId="0" borderId="0" xfId="0" applyFont="1">
      <alignment vertical="center"/>
    </xf>
    <xf numFmtId="0" fontId="19" fillId="0" borderId="0" xfId="0" applyFont="1">
      <alignment vertical="center"/>
    </xf>
    <xf numFmtId="180" fontId="13" fillId="0" borderId="1" xfId="0" applyNumberFormat="1" applyFont="1" applyBorder="1">
      <alignment vertical="center"/>
    </xf>
    <xf numFmtId="180" fontId="13" fillId="0" borderId="0" xfId="0" applyNumberFormat="1" applyFont="1">
      <alignment vertical="center"/>
    </xf>
    <xf numFmtId="181" fontId="6" fillId="0" borderId="0" xfId="0" applyNumberFormat="1" applyFont="1">
      <alignment vertical="center"/>
    </xf>
    <xf numFmtId="0" fontId="6" fillId="0" borderId="1" xfId="0" applyFont="1" applyFill="1" applyBorder="1" applyAlignment="1">
      <alignment vertical="center" wrapText="1"/>
    </xf>
    <xf numFmtId="177" fontId="10" fillId="0" borderId="43" xfId="0" applyNumberFormat="1" applyFont="1" applyBorder="1">
      <alignment vertical="center"/>
    </xf>
    <xf numFmtId="177" fontId="10" fillId="0" borderId="31" xfId="0" applyNumberFormat="1" applyFont="1" applyBorder="1">
      <alignment vertical="center"/>
    </xf>
    <xf numFmtId="178" fontId="13" fillId="0" borderId="3" xfId="0" applyNumberFormat="1" applyFont="1" applyBorder="1">
      <alignment vertical="center"/>
    </xf>
    <xf numFmtId="177" fontId="13" fillId="0" borderId="3" xfId="0" applyNumberFormat="1" applyFont="1" applyBorder="1">
      <alignment vertical="center"/>
    </xf>
    <xf numFmtId="180" fontId="13" fillId="0" borderId="3" xfId="0" applyNumberFormat="1" applyFont="1" applyBorder="1">
      <alignment vertical="center"/>
    </xf>
    <xf numFmtId="176" fontId="13" fillId="0" borderId="3" xfId="0" applyNumberFormat="1" applyFont="1" applyBorder="1">
      <alignment vertical="center"/>
    </xf>
    <xf numFmtId="177" fontId="6" fillId="0" borderId="45" xfId="0" applyNumberFormat="1" applyFont="1" applyBorder="1">
      <alignment vertical="center"/>
    </xf>
    <xf numFmtId="0" fontId="3" fillId="0" borderId="46" xfId="0" applyFont="1" applyBorder="1">
      <alignment vertical="center"/>
    </xf>
    <xf numFmtId="0" fontId="6" fillId="0" borderId="44" xfId="0" applyFont="1" applyBorder="1" applyAlignment="1">
      <alignment horizontal="center" vertical="center"/>
    </xf>
    <xf numFmtId="178" fontId="6" fillId="0" borderId="45" xfId="0" applyNumberFormat="1" applyFont="1" applyBorder="1">
      <alignment vertical="center"/>
    </xf>
    <xf numFmtId="181" fontId="6" fillId="0" borderId="29" xfId="0" applyNumberFormat="1" applyFont="1" applyBorder="1" applyAlignment="1">
      <alignment horizontal="center" vertical="center"/>
    </xf>
    <xf numFmtId="188" fontId="6" fillId="0" borderId="35" xfId="0" applyNumberFormat="1" applyFont="1" applyBorder="1">
      <alignment vertical="center"/>
    </xf>
    <xf numFmtId="177" fontId="6" fillId="0" borderId="35" xfId="0" applyNumberFormat="1" applyFont="1" applyBorder="1">
      <alignment vertical="center"/>
    </xf>
    <xf numFmtId="56" fontId="13" fillId="0" borderId="1" xfId="0" applyNumberFormat="1" applyFont="1" applyBorder="1" applyAlignment="1">
      <alignment horizontal="right" vertical="center"/>
    </xf>
    <xf numFmtId="186" fontId="0" fillId="0" borderId="1" xfId="0" applyNumberFormat="1" applyBorder="1" applyAlignment="1">
      <alignment horizontal="center" vertical="center" wrapText="1"/>
    </xf>
    <xf numFmtId="186" fontId="0" fillId="0" borderId="1" xfId="0" applyNumberFormat="1" applyBorder="1">
      <alignment vertical="center"/>
    </xf>
    <xf numFmtId="186" fontId="6" fillId="0" borderId="1" xfId="0" applyNumberFormat="1" applyFont="1" applyBorder="1" applyAlignment="1">
      <alignment horizontal="center" vertical="center" wrapText="1"/>
    </xf>
    <xf numFmtId="56" fontId="6" fillId="0" borderId="1" xfId="0" applyNumberFormat="1" applyFont="1" applyBorder="1" applyAlignment="1">
      <alignment horizontal="right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 wrapText="1"/>
    </xf>
    <xf numFmtId="177" fontId="17" fillId="0" borderId="0" xfId="0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10" fillId="0" borderId="0" xfId="0" applyNumberFormat="1" applyFont="1" applyBorder="1">
      <alignment vertical="center"/>
    </xf>
    <xf numFmtId="177" fontId="0" fillId="0" borderId="36" xfId="0" applyNumberFormat="1" applyBorder="1">
      <alignment vertical="center"/>
    </xf>
    <xf numFmtId="177" fontId="0" fillId="0" borderId="34" xfId="0" applyNumberFormat="1" applyBorder="1">
      <alignment vertical="center"/>
    </xf>
    <xf numFmtId="177" fontId="10" fillId="0" borderId="1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176" fontId="3" fillId="0" borderId="0" xfId="0" applyNumberFormat="1" applyFont="1" applyBorder="1">
      <alignment vertical="center"/>
    </xf>
    <xf numFmtId="176" fontId="20" fillId="0" borderId="0" xfId="0" applyNumberFormat="1" applyFont="1" applyBorder="1">
      <alignment vertical="center"/>
    </xf>
    <xf numFmtId="0" fontId="13" fillId="0" borderId="34" xfId="0" applyFont="1" applyBorder="1" applyAlignment="1">
      <alignment horizontal="right" vertical="center"/>
    </xf>
    <xf numFmtId="177" fontId="0" fillId="0" borderId="47" xfId="0" applyNumberFormat="1" applyBorder="1">
      <alignment vertical="center"/>
    </xf>
    <xf numFmtId="177" fontId="0" fillId="0" borderId="48" xfId="0" applyNumberFormat="1" applyBorder="1">
      <alignment vertical="center"/>
    </xf>
    <xf numFmtId="177" fontId="0" fillId="0" borderId="49" xfId="0" applyNumberFormat="1" applyBorder="1">
      <alignment vertical="center"/>
    </xf>
    <xf numFmtId="189" fontId="0" fillId="0" borderId="0" xfId="0" applyNumberFormat="1" applyAlignment="1">
      <alignment horizontal="center" vertical="center" wrapText="1"/>
    </xf>
    <xf numFmtId="190" fontId="0" fillId="0" borderId="0" xfId="0" applyNumberFormat="1" applyAlignment="1">
      <alignment horizontal="center" vertical="center" wrapText="1"/>
    </xf>
    <xf numFmtId="178" fontId="13" fillId="0" borderId="0" xfId="0" applyNumberFormat="1" applyFont="1">
      <alignment vertical="center"/>
    </xf>
    <xf numFmtId="178" fontId="0" fillId="0" borderId="1" xfId="0" applyNumberFormat="1" applyFill="1" applyBorder="1">
      <alignment vertical="center"/>
    </xf>
    <xf numFmtId="0" fontId="0" fillId="0" borderId="43" xfId="0" applyBorder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6" fontId="6" fillId="0" borderId="45" xfId="0" applyNumberFormat="1" applyFont="1" applyBorder="1">
      <alignment vertical="center"/>
    </xf>
    <xf numFmtId="0" fontId="0" fillId="0" borderId="18" xfId="0" applyBorder="1">
      <alignment vertical="center"/>
    </xf>
    <xf numFmtId="0" fontId="3" fillId="0" borderId="0" xfId="0" applyNumberFormat="1" applyFont="1" applyBorder="1" applyAlignment="1">
      <alignment horizontal="center" vertical="center" wrapText="1"/>
    </xf>
    <xf numFmtId="180" fontId="1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84" fontId="6" fillId="0" borderId="9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84" fontId="6" fillId="0" borderId="38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3" fillId="0" borderId="20" xfId="0" applyFont="1" applyBorder="1">
      <alignment vertical="center"/>
    </xf>
    <xf numFmtId="180" fontId="10" fillId="0" borderId="37" xfId="0" applyNumberFormat="1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176" fontId="6" fillId="0" borderId="39" xfId="0" applyNumberFormat="1" applyFont="1" applyFill="1" applyBorder="1" applyAlignment="1">
      <alignment horizontal="center" vertical="center" wrapText="1"/>
    </xf>
    <xf numFmtId="176" fontId="6" fillId="0" borderId="37" xfId="0" applyNumberFormat="1" applyFont="1" applyFill="1" applyBorder="1" applyAlignment="1">
      <alignment horizontal="center" vertical="center" wrapText="1"/>
    </xf>
    <xf numFmtId="177" fontId="10" fillId="0" borderId="51" xfId="0" applyNumberFormat="1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3" fillId="0" borderId="30" xfId="0" applyFont="1" applyBorder="1">
      <alignment vertical="center"/>
    </xf>
    <xf numFmtId="0" fontId="22" fillId="0" borderId="5" xfId="0" applyNumberFormat="1" applyFont="1" applyBorder="1" applyAlignment="1">
      <alignment vertical="center" wrapText="1"/>
    </xf>
    <xf numFmtId="0" fontId="22" fillId="0" borderId="5" xfId="0" applyNumberFormat="1" applyFont="1" applyFill="1" applyBorder="1" applyAlignment="1">
      <alignment vertical="center" wrapText="1"/>
    </xf>
    <xf numFmtId="0" fontId="22" fillId="0" borderId="8" xfId="0" applyNumberFormat="1" applyFont="1" applyBorder="1" applyAlignment="1">
      <alignment vertical="center" wrapText="1"/>
    </xf>
    <xf numFmtId="0" fontId="22" fillId="0" borderId="45" xfId="0" applyNumberFormat="1" applyFont="1" applyBorder="1" applyAlignment="1">
      <alignment vertical="center" wrapText="1"/>
    </xf>
    <xf numFmtId="0" fontId="22" fillId="0" borderId="45" xfId="0" applyNumberFormat="1" applyFont="1" applyBorder="1" applyAlignment="1">
      <alignment vertical="center"/>
    </xf>
    <xf numFmtId="0" fontId="22" fillId="0" borderId="45" xfId="0" applyNumberFormat="1" applyFont="1" applyFill="1" applyBorder="1" applyAlignment="1">
      <alignment vertical="center" wrapText="1"/>
    </xf>
    <xf numFmtId="0" fontId="22" fillId="0" borderId="1" xfId="0" applyNumberFormat="1" applyFont="1" applyBorder="1" applyAlignment="1">
      <alignment vertical="center"/>
    </xf>
    <xf numFmtId="0" fontId="22" fillId="0" borderId="1" xfId="0" applyNumberFormat="1" applyFont="1" applyBorder="1" applyAlignment="1">
      <alignment vertical="center" wrapText="1"/>
    </xf>
    <xf numFmtId="0" fontId="22" fillId="0" borderId="12" xfId="0" applyNumberFormat="1" applyFont="1" applyBorder="1" applyAlignment="1">
      <alignment vertical="center"/>
    </xf>
    <xf numFmtId="0" fontId="22" fillId="0" borderId="35" xfId="0" applyNumberFormat="1" applyFont="1" applyBorder="1" applyAlignment="1">
      <alignment vertical="center" wrapText="1"/>
    </xf>
    <xf numFmtId="0" fontId="22" fillId="0" borderId="35" xfId="0" applyNumberFormat="1" applyFont="1" applyBorder="1" applyAlignment="1">
      <alignment vertical="center"/>
    </xf>
    <xf numFmtId="0" fontId="22" fillId="0" borderId="33" xfId="0" applyNumberFormat="1" applyFont="1" applyBorder="1" applyAlignment="1">
      <alignment vertical="center"/>
    </xf>
    <xf numFmtId="0" fontId="22" fillId="0" borderId="0" xfId="0" applyNumberFormat="1" applyFont="1" applyBorder="1" applyAlignment="1">
      <alignment vertical="center" wrapText="1"/>
    </xf>
    <xf numFmtId="0" fontId="18" fillId="0" borderId="0" xfId="0" applyNumberFormat="1" applyFont="1" applyFill="1" applyBorder="1" applyAlignment="1">
      <alignment vertical="center" wrapText="1"/>
    </xf>
    <xf numFmtId="0" fontId="22" fillId="0" borderId="0" xfId="0" applyNumberFormat="1" applyFont="1" applyBorder="1" applyAlignment="1">
      <alignment vertical="center"/>
    </xf>
    <xf numFmtId="0" fontId="22" fillId="0" borderId="46" xfId="0" applyNumberFormat="1" applyFont="1" applyFill="1" applyBorder="1" applyAlignment="1">
      <alignment vertical="center" wrapText="1"/>
    </xf>
    <xf numFmtId="0" fontId="22" fillId="0" borderId="44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22" fillId="0" borderId="12" xfId="0" applyNumberFormat="1" applyFont="1" applyBorder="1" applyAlignment="1">
      <alignment vertical="center" wrapText="1"/>
    </xf>
    <xf numFmtId="0" fontId="18" fillId="0" borderId="12" xfId="0" applyNumberFormat="1" applyFont="1" applyFill="1" applyBorder="1" applyAlignment="1">
      <alignment vertical="center" wrapText="1"/>
    </xf>
    <xf numFmtId="0" fontId="22" fillId="0" borderId="24" xfId="0" applyFont="1" applyBorder="1" applyAlignment="1">
      <alignment horizontal="right" vertical="center" wrapText="1"/>
    </xf>
    <xf numFmtId="176" fontId="18" fillId="0" borderId="24" xfId="0" applyNumberFormat="1" applyFont="1" applyFill="1" applyBorder="1" applyAlignment="1">
      <alignment horizontal="right" vertical="center" wrapText="1"/>
    </xf>
    <xf numFmtId="0" fontId="22" fillId="0" borderId="29" xfId="0" applyFont="1" applyBorder="1" applyAlignment="1">
      <alignment horizontal="right" vertical="center"/>
    </xf>
    <xf numFmtId="187" fontId="0" fillId="0" borderId="1" xfId="0" applyNumberFormat="1" applyBorder="1">
      <alignment vertical="center"/>
    </xf>
    <xf numFmtId="0" fontId="7" fillId="0" borderId="0" xfId="0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 wrapText="1"/>
    </xf>
    <xf numFmtId="177" fontId="6" fillId="0" borderId="0" xfId="0" applyNumberFormat="1" applyFont="1" applyBorder="1">
      <alignment vertical="center"/>
    </xf>
    <xf numFmtId="187" fontId="4" fillId="0" borderId="0" xfId="0" applyNumberFormat="1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178" fontId="6" fillId="0" borderId="0" xfId="0" applyNumberFormat="1" applyFont="1">
      <alignment vertical="center"/>
    </xf>
    <xf numFmtId="184" fontId="4" fillId="0" borderId="4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80" fontId="5" fillId="0" borderId="7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13" fillId="0" borderId="3" xfId="0" applyNumberFormat="1" applyFont="1" applyBorder="1">
      <alignment vertical="center"/>
    </xf>
    <xf numFmtId="178" fontId="24" fillId="0" borderId="1" xfId="0" applyNumberFormat="1" applyFont="1" applyBorder="1">
      <alignment vertical="center"/>
    </xf>
    <xf numFmtId="177" fontId="6" fillId="0" borderId="1" xfId="0" applyNumberFormat="1" applyFont="1" applyBorder="1" applyAlignment="1">
      <alignment horizontal="center" vertical="center" wrapText="1"/>
    </xf>
    <xf numFmtId="177" fontId="6" fillId="0" borderId="0" xfId="0" applyNumberFormat="1" applyFont="1">
      <alignment vertical="center"/>
    </xf>
    <xf numFmtId="176" fontId="6" fillId="0" borderId="35" xfId="0" applyNumberFormat="1" applyFont="1" applyBorder="1">
      <alignment vertical="center"/>
    </xf>
    <xf numFmtId="0" fontId="13" fillId="0" borderId="0" xfId="0" applyFont="1" applyBorder="1" applyAlignment="1">
      <alignment horizontal="right" vertical="center"/>
    </xf>
    <xf numFmtId="177" fontId="0" fillId="0" borderId="0" xfId="0" applyNumberForma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22" fillId="0" borderId="1" xfId="0" applyNumberFormat="1" applyFont="1" applyFill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vertical="center" wrapText="1"/>
    </xf>
    <xf numFmtId="0" fontId="6" fillId="0" borderId="29" xfId="0" applyFont="1" applyBorder="1" applyAlignment="1">
      <alignment horizontal="center" vertical="center" wrapText="1"/>
    </xf>
    <xf numFmtId="0" fontId="3" fillId="0" borderId="35" xfId="0" applyFont="1" applyBorder="1">
      <alignment vertical="center"/>
    </xf>
    <xf numFmtId="184" fontId="6" fillId="0" borderId="1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2" fillId="0" borderId="2" xfId="0" applyNumberFormat="1" applyFont="1" applyBorder="1" applyAlignment="1">
      <alignment vertical="center" wrapText="1"/>
    </xf>
    <xf numFmtId="0" fontId="22" fillId="0" borderId="2" xfId="0" applyNumberFormat="1" applyFont="1" applyFill="1" applyBorder="1" applyAlignment="1">
      <alignment vertical="center" wrapText="1"/>
    </xf>
    <xf numFmtId="0" fontId="22" fillId="0" borderId="18" xfId="0" applyNumberFormat="1" applyFont="1" applyBorder="1" applyAlignment="1">
      <alignment vertical="center" wrapText="1"/>
    </xf>
    <xf numFmtId="184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80" fontId="10" fillId="0" borderId="5" xfId="0" applyNumberFormat="1" applyFont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177" fontId="10" fillId="0" borderId="8" xfId="0" applyNumberFormat="1" applyFont="1" applyBorder="1" applyAlignment="1">
      <alignment horizontal="center" vertical="center" wrapText="1"/>
    </xf>
    <xf numFmtId="185" fontId="3" fillId="0" borderId="48" xfId="0" applyNumberFormat="1" applyFont="1" applyBorder="1">
      <alignment vertical="center"/>
    </xf>
  </cellXfs>
  <cellStyles count="1">
    <cellStyle name="標準" xfId="0" builtinId="0"/>
  </cellStyles>
  <dxfs count="105"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00B05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00B05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00B05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00B05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00B05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="160" zoomScaleNormal="160" workbookViewId="0">
      <selection activeCell="C13" sqref="C13"/>
    </sheetView>
  </sheetViews>
  <sheetFormatPr defaultRowHeight="13.5"/>
  <cols>
    <col min="1" max="1" width="4.875" style="172" bestFit="1" customWidth="1"/>
    <col min="2" max="2" width="29.5" bestFit="1" customWidth="1"/>
    <col min="3" max="3" width="5.75" bestFit="1" customWidth="1"/>
    <col min="4" max="4" width="7.5" bestFit="1" customWidth="1"/>
    <col min="5" max="5" width="7.125" bestFit="1" customWidth="1"/>
    <col min="6" max="6" width="6.5" bestFit="1" customWidth="1"/>
    <col min="7" max="7" width="7.5" bestFit="1" customWidth="1"/>
    <col min="8" max="8" width="8.375" bestFit="1" customWidth="1"/>
    <col min="9" max="9" width="5.5" customWidth="1"/>
    <col min="10" max="11" width="5.5" bestFit="1" customWidth="1"/>
    <col min="12" max="12" width="7.125" bestFit="1" customWidth="1"/>
    <col min="13" max="13" width="9" bestFit="1" customWidth="1"/>
  </cols>
  <sheetData>
    <row r="1" spans="1:13">
      <c r="H1" s="67"/>
    </row>
    <row r="2" spans="1:13" ht="63.75" customHeight="1">
      <c r="A2" s="173"/>
      <c r="B2" s="149">
        <f>B13</f>
        <v>42662</v>
      </c>
      <c r="C2" s="121"/>
      <c r="D2" s="96" t="s">
        <v>1166</v>
      </c>
      <c r="E2" s="96" t="s">
        <v>3</v>
      </c>
      <c r="F2" s="96" t="s">
        <v>4</v>
      </c>
      <c r="G2" s="96" t="s">
        <v>5</v>
      </c>
      <c r="H2" s="148" t="s">
        <v>1148</v>
      </c>
      <c r="I2" s="150" t="s">
        <v>6</v>
      </c>
      <c r="J2" s="150" t="s">
        <v>7</v>
      </c>
      <c r="K2" s="150" t="s">
        <v>8</v>
      </c>
      <c r="L2" s="151" t="s">
        <v>9</v>
      </c>
    </row>
    <row r="3" spans="1:13" ht="13.5" customHeight="1">
      <c r="B3" s="20" t="s">
        <v>761</v>
      </c>
      <c r="C3" s="20" t="s">
        <v>758</v>
      </c>
      <c r="D3" s="5">
        <f>SUM(D15:D78)</f>
        <v>120.96</v>
      </c>
      <c r="E3" s="5">
        <f t="shared" ref="E3:L3" si="0">SUM(E15:E78)</f>
        <v>1.23</v>
      </c>
      <c r="F3" s="5">
        <f t="shared" si="0"/>
        <v>0.222</v>
      </c>
      <c r="G3" s="5">
        <f t="shared" si="0"/>
        <v>31.382000000000001</v>
      </c>
      <c r="H3" s="5">
        <f t="shared" si="0"/>
        <v>0</v>
      </c>
      <c r="I3" s="5">
        <f t="shared" si="0"/>
        <v>0</v>
      </c>
      <c r="J3" s="5">
        <f t="shared" si="0"/>
        <v>0</v>
      </c>
      <c r="K3" s="5">
        <f t="shared" si="0"/>
        <v>2.52</v>
      </c>
      <c r="L3" s="5">
        <f t="shared" si="0"/>
        <v>6.7129105999999994E-2</v>
      </c>
    </row>
    <row r="4" spans="1:13" ht="13.5" customHeight="1">
      <c r="B4" s="20" t="s">
        <v>762</v>
      </c>
      <c r="C4" s="20" t="s">
        <v>758</v>
      </c>
      <c r="D4" s="5"/>
      <c r="E4" s="5"/>
      <c r="F4" s="5"/>
      <c r="G4" s="5"/>
      <c r="H4" s="147"/>
      <c r="I4" s="5"/>
      <c r="J4" s="5"/>
      <c r="K4" s="5"/>
      <c r="L4" s="5"/>
    </row>
    <row r="5" spans="1:13" ht="13.5" customHeight="1">
      <c r="B5" s="20" t="s">
        <v>763</v>
      </c>
      <c r="C5" s="20" t="s">
        <v>758</v>
      </c>
      <c r="D5" s="5"/>
      <c r="E5" s="5"/>
      <c r="F5" s="5"/>
      <c r="G5" s="5"/>
      <c r="H5" s="147"/>
      <c r="I5" s="5"/>
      <c r="J5" s="5"/>
      <c r="K5" s="5"/>
      <c r="L5" s="5"/>
    </row>
    <row r="6" spans="1:13" ht="13.5" customHeight="1">
      <c r="B6" s="1"/>
      <c r="C6" s="43" t="s">
        <v>779</v>
      </c>
      <c r="D6" s="5">
        <f>SUM(D3:D5)</f>
        <v>120.96</v>
      </c>
      <c r="E6" s="5">
        <f t="shared" ref="E6:L6" si="1">SUM(E3:E5)</f>
        <v>1.23</v>
      </c>
      <c r="F6" s="5">
        <f t="shared" si="1"/>
        <v>0.222</v>
      </c>
      <c r="G6" s="5">
        <f t="shared" si="1"/>
        <v>31.382000000000001</v>
      </c>
      <c r="H6" s="5">
        <f t="shared" si="1"/>
        <v>0</v>
      </c>
      <c r="I6" s="5">
        <f t="shared" si="1"/>
        <v>0</v>
      </c>
      <c r="J6" s="5">
        <f t="shared" si="1"/>
        <v>0</v>
      </c>
      <c r="K6" s="5">
        <f t="shared" si="1"/>
        <v>2.52</v>
      </c>
      <c r="L6" s="5">
        <f t="shared" si="1"/>
        <v>6.7129105999999994E-2</v>
      </c>
    </row>
    <row r="7" spans="1:13" ht="13.5" customHeight="1">
      <c r="B7" s="153"/>
      <c r="C7" s="248"/>
      <c r="D7" s="249"/>
      <c r="E7" s="249"/>
      <c r="F7" s="249"/>
      <c r="G7" s="249"/>
      <c r="H7" s="249"/>
      <c r="I7" s="249"/>
      <c r="J7" s="249"/>
      <c r="K7" s="249"/>
      <c r="L7" s="249"/>
    </row>
    <row r="8" spans="1:13" ht="13.5" customHeight="1"/>
    <row r="9" spans="1:13">
      <c r="E9" s="228" t="s">
        <v>3</v>
      </c>
      <c r="F9" s="228" t="s">
        <v>4</v>
      </c>
      <c r="G9" s="228" t="s">
        <v>5</v>
      </c>
    </row>
    <row r="10" spans="1:13">
      <c r="B10" s="1" t="s">
        <v>1194</v>
      </c>
      <c r="C10" s="1"/>
      <c r="D10" s="222">
        <f>SUM(E10:G10)</f>
        <v>1.053290343915344</v>
      </c>
      <c r="E10" s="222">
        <f>E6*4/D6</f>
        <v>4.0674603174603176E-2</v>
      </c>
      <c r="F10" s="222">
        <f>F6*9/D6</f>
        <v>1.6517857142857143E-2</v>
      </c>
      <c r="G10" s="222">
        <f>((G6-K6)*4+K6*2)/D6</f>
        <v>0.99609788359788376</v>
      </c>
      <c r="H10" s="1"/>
      <c r="I10" s="1"/>
      <c r="J10" s="1"/>
      <c r="K10" s="1"/>
      <c r="L10" s="1"/>
    </row>
    <row r="11" spans="1:13">
      <c r="D11" s="227" t="s">
        <v>773</v>
      </c>
      <c r="E11" s="226">
        <v>0.13</v>
      </c>
      <c r="F11" s="226">
        <v>0.2</v>
      </c>
      <c r="G11" s="226">
        <v>0.5</v>
      </c>
    </row>
    <row r="12" spans="1:13">
      <c r="D12" s="227" t="s">
        <v>769</v>
      </c>
      <c r="E12" s="226">
        <v>0.2</v>
      </c>
      <c r="F12" s="226">
        <v>0.3</v>
      </c>
      <c r="G12" s="226">
        <v>0.65</v>
      </c>
    </row>
    <row r="13" spans="1:13">
      <c r="B13" s="102">
        <v>42662</v>
      </c>
      <c r="C13" s="118"/>
    </row>
    <row r="14" spans="1:13" ht="40.5" customHeight="1">
      <c r="B14" s="98" t="s">
        <v>0</v>
      </c>
      <c r="C14" s="82" t="s">
        <v>1</v>
      </c>
      <c r="D14" s="82" t="s">
        <v>2</v>
      </c>
      <c r="E14" s="82" t="s">
        <v>3</v>
      </c>
      <c r="F14" s="82" t="s">
        <v>4</v>
      </c>
      <c r="G14" s="114" t="s">
        <v>5</v>
      </c>
      <c r="H14" s="120" t="s">
        <v>1148</v>
      </c>
      <c r="I14" s="83" t="s">
        <v>6</v>
      </c>
      <c r="J14" s="83" t="s">
        <v>7</v>
      </c>
      <c r="K14" s="115" t="s">
        <v>8</v>
      </c>
      <c r="L14" s="116" t="s">
        <v>9</v>
      </c>
      <c r="M14" s="98" t="s">
        <v>746</v>
      </c>
    </row>
    <row r="15" spans="1:13" ht="13.5" customHeight="1">
      <c r="A15" s="174" t="s">
        <v>844</v>
      </c>
      <c r="B15" s="99" t="str">
        <f>粥A!B10</f>
        <v>粥9/17作</v>
      </c>
      <c r="C15" s="4"/>
      <c r="D15" s="5">
        <f>$C$15/100*粥A!D3</f>
        <v>0</v>
      </c>
      <c r="E15" s="5">
        <f>$C$15/100*粥A!E3</f>
        <v>0</v>
      </c>
      <c r="F15" s="5">
        <f>$C$15/100*粥A!F3</f>
        <v>0</v>
      </c>
      <c r="G15" s="5">
        <f>$C$15/100*粥A!G3</f>
        <v>0</v>
      </c>
      <c r="H15" s="5">
        <f>$C$15/100*粥A!H3</f>
        <v>0</v>
      </c>
      <c r="I15" s="5">
        <f>$C$15/100*粥A!I3</f>
        <v>0</v>
      </c>
      <c r="J15" s="5">
        <f>$C$15/100*粥A!J3</f>
        <v>0</v>
      </c>
      <c r="K15" s="5">
        <f>$C$15/100*粥A!K3</f>
        <v>0</v>
      </c>
      <c r="L15" s="5">
        <f>$C$15/100*粥A!L3</f>
        <v>0</v>
      </c>
      <c r="M15" s="5"/>
    </row>
    <row r="16" spans="1:13" ht="13.5" customHeight="1">
      <c r="A16" s="174" t="s">
        <v>845</v>
      </c>
      <c r="B16" s="99" t="str">
        <f>粥B!B3</f>
        <v>粥9/12作</v>
      </c>
      <c r="C16" s="4"/>
      <c r="D16" s="5">
        <f>$C$16/100*粥B!D3</f>
        <v>0</v>
      </c>
      <c r="E16" s="5">
        <f>$C$16/100*粥B!E3</f>
        <v>0</v>
      </c>
      <c r="F16" s="5">
        <f>$C$16/100*粥B!F3</f>
        <v>0</v>
      </c>
      <c r="G16" s="5">
        <f>$C$16/100*粥B!G3</f>
        <v>0</v>
      </c>
      <c r="H16" s="5">
        <f>$C$16/100*粥B!H3</f>
        <v>0</v>
      </c>
      <c r="I16" s="5">
        <f>$C$16/100*粥B!I3</f>
        <v>0</v>
      </c>
      <c r="J16" s="5">
        <f>$C$16/100*粥B!J3</f>
        <v>0</v>
      </c>
      <c r="K16" s="5">
        <f>$C$16/100*粥B!K3</f>
        <v>0</v>
      </c>
      <c r="L16" s="5">
        <f>$C$16/100*粥B!L3</f>
        <v>0</v>
      </c>
      <c r="M16" s="5"/>
    </row>
    <row r="17" spans="1:13" ht="13.5" customHeight="1">
      <c r="A17" s="174" t="s">
        <v>846</v>
      </c>
      <c r="B17" s="100" t="str">
        <f>味噌汁A!B3</f>
        <v>味噌汁・9/21作</v>
      </c>
      <c r="C17" s="4"/>
      <c r="D17" s="5">
        <f>$C$17/100*味噌汁A!D3</f>
        <v>0</v>
      </c>
      <c r="E17" s="5">
        <f>$C$17/100*味噌汁A!E3</f>
        <v>0</v>
      </c>
      <c r="F17" s="5">
        <f>$C$17/100*味噌汁A!F3</f>
        <v>0</v>
      </c>
      <c r="G17" s="5">
        <f>$C$17/100*味噌汁A!G3</f>
        <v>0</v>
      </c>
      <c r="H17" s="5">
        <f>$C$17/100*味噌汁A!H3</f>
        <v>0</v>
      </c>
      <c r="I17" s="5">
        <f>$C$17/100*味噌汁A!I3</f>
        <v>0</v>
      </c>
      <c r="J17" s="5">
        <f>$C$17/100*味噌汁A!J3</f>
        <v>0</v>
      </c>
      <c r="K17" s="5">
        <f>$C$17/100*味噌汁A!K3</f>
        <v>0</v>
      </c>
      <c r="L17" s="5">
        <f>$C$17/100*味噌汁A!L3</f>
        <v>0</v>
      </c>
      <c r="M17" s="5"/>
    </row>
    <row r="18" spans="1:13" ht="13.5" customHeight="1">
      <c r="A18" s="174" t="s">
        <v>843</v>
      </c>
      <c r="B18" s="100" t="str">
        <f>味噌汁B!B3</f>
        <v>味噌汁9/14作</v>
      </c>
      <c r="C18" s="4"/>
      <c r="D18" s="5">
        <f>$C$18/100*味噌汁B!D3</f>
        <v>0</v>
      </c>
      <c r="E18" s="5">
        <f>$C$18/100*味噌汁B!E3</f>
        <v>0</v>
      </c>
      <c r="F18" s="5">
        <f>$C$18/100*味噌汁B!F3</f>
        <v>0</v>
      </c>
      <c r="G18" s="5">
        <f>$C$18/100*味噌汁B!G3</f>
        <v>0</v>
      </c>
      <c r="H18" s="5">
        <f>$C$18/100*味噌汁B!H3</f>
        <v>0</v>
      </c>
      <c r="I18" s="5">
        <f>$C$18/100*味噌汁B!I3</f>
        <v>0</v>
      </c>
      <c r="J18" s="5">
        <f>$C$18/100*味噌汁B!J3</f>
        <v>0</v>
      </c>
      <c r="K18" s="5">
        <f>$C$18/100*味噌汁B!K3</f>
        <v>0</v>
      </c>
      <c r="L18" s="5">
        <f>$C$18/100*味噌汁B!L3</f>
        <v>0</v>
      </c>
      <c r="M18" s="5"/>
    </row>
    <row r="19" spans="1:13" ht="13.5" customHeight="1">
      <c r="A19" s="174" t="s">
        <v>1156</v>
      </c>
      <c r="B19" s="96" t="str">
        <f>調理1!B3</f>
        <v>味噌汁9/16の具・昼食</v>
      </c>
      <c r="C19" s="4"/>
      <c r="D19" s="5">
        <f>$C$19/100*調理1!D3</f>
        <v>0</v>
      </c>
      <c r="E19" s="5">
        <f>$C$19/100*調理1!E3</f>
        <v>0</v>
      </c>
      <c r="F19" s="5">
        <f>$C$19/100*調理1!F3</f>
        <v>0</v>
      </c>
      <c r="G19" s="5">
        <f>$C$19/100*調理1!G3</f>
        <v>0</v>
      </c>
      <c r="H19" s="5">
        <f>$C$19/100*調理1!H3</f>
        <v>0</v>
      </c>
      <c r="I19" s="5">
        <f>$C$19/100*調理1!I3</f>
        <v>0</v>
      </c>
      <c r="J19" s="5">
        <f>$C$19/100*調理1!J3</f>
        <v>0</v>
      </c>
      <c r="K19" s="5">
        <f>$C$19/100*調理1!K3</f>
        <v>0</v>
      </c>
      <c r="L19" s="5">
        <f>$C$19/100*調理1!L3</f>
        <v>0</v>
      </c>
      <c r="M19" s="5"/>
    </row>
    <row r="20" spans="1:13" ht="13.5" customHeight="1">
      <c r="A20" s="174" t="s">
        <v>1157</v>
      </c>
      <c r="B20" s="96" t="str">
        <f>調理2!B3</f>
        <v>味噌汁9/16の具・夕食</v>
      </c>
      <c r="C20" s="4"/>
      <c r="D20" s="5">
        <f>$C$20/100*調理2!D3</f>
        <v>0</v>
      </c>
      <c r="E20" s="5">
        <f>$C$20/100*調理2!E3</f>
        <v>0</v>
      </c>
      <c r="F20" s="5">
        <f>$C$20/100*調理2!F3</f>
        <v>0</v>
      </c>
      <c r="G20" s="5">
        <f>$C$20/100*調理2!G3</f>
        <v>0</v>
      </c>
      <c r="H20" s="5">
        <f>$C$20/100*調理2!H3</f>
        <v>0</v>
      </c>
      <c r="I20" s="5">
        <f>$C$20/100*調理2!I3</f>
        <v>0</v>
      </c>
      <c r="J20" s="5">
        <f>$C$20/100*調理2!J3</f>
        <v>0</v>
      </c>
      <c r="K20" s="5">
        <f>$C$20/100*調理2!K3</f>
        <v>0</v>
      </c>
      <c r="L20" s="5">
        <f>$C$20/100*調理2!L3</f>
        <v>0</v>
      </c>
      <c r="M20" s="5"/>
    </row>
    <row r="21" spans="1:13" ht="13.5" customHeight="1">
      <c r="A21" s="174" t="s">
        <v>1158</v>
      </c>
      <c r="B21" s="96" t="str">
        <f>調理3!B3</f>
        <v>野菜・カマボコ・サラダ9/8</v>
      </c>
      <c r="C21" s="4"/>
      <c r="D21" s="5">
        <f>$C$21/100*調理3!D3</f>
        <v>0</v>
      </c>
      <c r="E21" s="5">
        <f>$C$21/100*調理3!E3</f>
        <v>0</v>
      </c>
      <c r="F21" s="5">
        <f>$C$21/100*調理3!F3</f>
        <v>0</v>
      </c>
      <c r="G21" s="5">
        <f>$C$21/100*調理3!G3</f>
        <v>0</v>
      </c>
      <c r="H21" s="5">
        <f>$C$21/100*調理3!H3</f>
        <v>0</v>
      </c>
      <c r="I21" s="5">
        <f>$C$21/100*調理3!I3</f>
        <v>0</v>
      </c>
      <c r="J21" s="5">
        <f>$C$21/100*調理3!J3</f>
        <v>0</v>
      </c>
      <c r="K21" s="5">
        <f>$C$21/100*調理3!K3</f>
        <v>0</v>
      </c>
      <c r="L21" s="5">
        <f>$C$21/100*調理3!L3</f>
        <v>0</v>
      </c>
      <c r="M21" s="5"/>
    </row>
    <row r="22" spans="1:13" ht="13.5" customHeight="1">
      <c r="A22" s="174" t="s">
        <v>1159</v>
      </c>
      <c r="B22" s="101" t="str">
        <f>調理4!B3</f>
        <v>ささげ油炒め9/14</v>
      </c>
      <c r="C22" s="21"/>
      <c r="D22" s="22">
        <f>$C$22/100*調理4!D3</f>
        <v>0</v>
      </c>
      <c r="E22" s="22">
        <f>$C$22/100*調理4!E3</f>
        <v>0</v>
      </c>
      <c r="F22" s="22">
        <f>$C$22/100*調理4!F3</f>
        <v>0</v>
      </c>
      <c r="G22" s="22">
        <f>$C$22/100*調理4!G3</f>
        <v>0</v>
      </c>
      <c r="H22" s="22">
        <f>$C$22/100*調理4!H3</f>
        <v>0</v>
      </c>
      <c r="I22" s="22">
        <f>$C$22/100*調理4!I3</f>
        <v>0</v>
      </c>
      <c r="J22" s="22">
        <f>$C$22/100*調理4!J3</f>
        <v>0</v>
      </c>
      <c r="K22" s="22">
        <f>$C$22/100*調理4!K3</f>
        <v>0</v>
      </c>
      <c r="L22" s="22">
        <f>$C$22/100*調理4!L3</f>
        <v>0</v>
      </c>
      <c r="M22" s="22"/>
    </row>
    <row r="23" spans="1:13" ht="13.5" customHeight="1">
      <c r="A23" s="174" t="s">
        <v>1160</v>
      </c>
      <c r="B23" s="96" t="str">
        <f>調理5!B3</f>
        <v>刺身9/13</v>
      </c>
      <c r="C23" s="4"/>
      <c r="D23" s="5">
        <f>$C$23/100*調理5!D3</f>
        <v>0</v>
      </c>
      <c r="E23" s="5">
        <f>$C$23/100*調理5!E3</f>
        <v>0</v>
      </c>
      <c r="F23" s="5">
        <f>$C$23/100*調理5!F3</f>
        <v>0</v>
      </c>
      <c r="G23" s="5">
        <f>$C$23/100*調理5!G3</f>
        <v>0</v>
      </c>
      <c r="H23" s="5">
        <f>$C$23/100*調理5!H3</f>
        <v>0</v>
      </c>
      <c r="I23" s="5">
        <f>$C$23/100*調理5!I3</f>
        <v>0</v>
      </c>
      <c r="J23" s="5">
        <f>$C$23/100*調理5!J3</f>
        <v>0</v>
      </c>
      <c r="K23" s="5">
        <f>$C$23/100*調理5!K3</f>
        <v>0</v>
      </c>
      <c r="L23" s="5">
        <f>$C$23/100*調理5!L3</f>
        <v>0</v>
      </c>
      <c r="M23" s="5"/>
    </row>
    <row r="24" spans="1:13" ht="13.5" customHeight="1">
      <c r="A24" s="174" t="s">
        <v>1161</v>
      </c>
      <c r="B24" s="96" t="str">
        <f>調理6!B3</f>
        <v>焼き肉7/23</v>
      </c>
      <c r="C24" s="4"/>
      <c r="D24" s="5">
        <f>$C$24/100*調理6!D3</f>
        <v>0</v>
      </c>
      <c r="E24" s="5">
        <f>$C$24/100*調理6!E3</f>
        <v>0</v>
      </c>
      <c r="F24" s="5">
        <f>$C$24/100*調理6!F3</f>
        <v>0</v>
      </c>
      <c r="G24" s="5">
        <f>$C$24/100*調理6!G3</f>
        <v>0</v>
      </c>
      <c r="H24" s="5">
        <f>$C$24/100*調理6!H3</f>
        <v>0</v>
      </c>
      <c r="I24" s="5">
        <f>$C$24/100*調理6!I3</f>
        <v>0</v>
      </c>
      <c r="J24" s="5">
        <f>$C$24/100*調理6!J3</f>
        <v>0</v>
      </c>
      <c r="K24" s="5">
        <f>$C$24/100*調理6!K3</f>
        <v>0</v>
      </c>
      <c r="L24" s="5">
        <f>$C$24/100*調理6!L3</f>
        <v>0</v>
      </c>
      <c r="M24" s="5"/>
    </row>
    <row r="25" spans="1:13" ht="13.5" customHeight="1">
      <c r="A25" s="174" t="s">
        <v>1162</v>
      </c>
      <c r="B25" s="96" t="str">
        <f>調理7!B3</f>
        <v>酢の物（わかめ・キュウリ）9/5</v>
      </c>
      <c r="C25" s="4"/>
      <c r="D25" s="5">
        <f>$C$25/100*調理7!D3</f>
        <v>0</v>
      </c>
      <c r="E25" s="5">
        <f>$C$25/100*調理7!E3</f>
        <v>0</v>
      </c>
      <c r="F25" s="5">
        <f>$C$25/100*調理7!F3</f>
        <v>0</v>
      </c>
      <c r="G25" s="5">
        <f>$C$25/100*調理7!G3</f>
        <v>0</v>
      </c>
      <c r="H25" s="5">
        <f>$C$25/100*調理7!H3</f>
        <v>0</v>
      </c>
      <c r="I25" s="5">
        <f>$C$25/100*調理7!I3</f>
        <v>0</v>
      </c>
      <c r="J25" s="5">
        <f>$C$25/100*調理7!J3</f>
        <v>0</v>
      </c>
      <c r="K25" s="5">
        <f>$C$25/100*調理7!K3</f>
        <v>0</v>
      </c>
      <c r="L25" s="5">
        <f>$C$25/100*調理7!L3</f>
        <v>0</v>
      </c>
      <c r="M25" s="5"/>
    </row>
    <row r="26" spans="1:13" ht="13.5" customHeight="1">
      <c r="A26" s="174" t="s">
        <v>1163</v>
      </c>
      <c r="B26" s="96" t="str">
        <f>調理8!B3</f>
        <v>ラーメン(外食・白味噌)推定9/8</v>
      </c>
      <c r="C26" s="4"/>
      <c r="D26" s="5">
        <f>$C$26/100*調理8!D3</f>
        <v>0</v>
      </c>
      <c r="E26" s="5">
        <f>$C$26/100*調理8!E3</f>
        <v>0</v>
      </c>
      <c r="F26" s="5">
        <f>$C$26/100*調理8!F3</f>
        <v>0</v>
      </c>
      <c r="G26" s="5">
        <f>$C$26/100*調理8!G3</f>
        <v>0</v>
      </c>
      <c r="H26" s="5">
        <f>$C$26/100*調理8!H3</f>
        <v>0</v>
      </c>
      <c r="I26" s="5">
        <f>$C$26/100*調理8!I3</f>
        <v>0</v>
      </c>
      <c r="J26" s="5">
        <f>$C$26/100*調理8!J3</f>
        <v>0</v>
      </c>
      <c r="K26" s="5">
        <f>$C$26/100*調理8!K3</f>
        <v>0</v>
      </c>
      <c r="L26" s="5">
        <f>$C$26/100*調理8!L3</f>
        <v>0</v>
      </c>
      <c r="M26" s="5"/>
    </row>
    <row r="27" spans="1:13" ht="13.5" customHeight="1" thickBot="1">
      <c r="A27" s="174" t="s">
        <v>1164</v>
      </c>
      <c r="B27" s="96" t="str">
        <f>調理9!B3</f>
        <v>切干大根・天ぷら・玉葱炒め9/18</v>
      </c>
      <c r="C27" s="4"/>
      <c r="D27" s="5">
        <f>$C$27/100*調理9!D3</f>
        <v>0</v>
      </c>
      <c r="E27" s="5">
        <f>$C$27/100*調理9!E3</f>
        <v>0</v>
      </c>
      <c r="F27" s="5">
        <f>$C$27/100*調理9!F3</f>
        <v>0</v>
      </c>
      <c r="G27" s="5">
        <f>$C$27/100*調理9!G3</f>
        <v>0</v>
      </c>
      <c r="H27" s="5">
        <f>$C$27/100*調理9!H3</f>
        <v>0</v>
      </c>
      <c r="I27" s="5">
        <f>$C$27/100*調理9!I3</f>
        <v>0</v>
      </c>
      <c r="J27" s="5">
        <f>$C$27/100*調理9!J3</f>
        <v>0</v>
      </c>
      <c r="K27" s="5">
        <f>$C$27/100*調理9!K3</f>
        <v>0</v>
      </c>
      <c r="L27" s="5">
        <f>$C$27/100*調理9!L3</f>
        <v>0</v>
      </c>
      <c r="M27" s="5"/>
    </row>
    <row r="28" spans="1:13" ht="13.5" customHeight="1" thickBot="1">
      <c r="A28" s="174" t="s">
        <v>1165</v>
      </c>
      <c r="B28" s="97" t="str">
        <f>調理10!B3</f>
        <v>切干大根・天ぷら・玉葱炒め9/20</v>
      </c>
      <c r="C28" s="87"/>
      <c r="D28" s="86">
        <f>$C$28/100*調理10!D3</f>
        <v>0</v>
      </c>
      <c r="E28" s="86">
        <f>$C$28/100*調理10!E3</f>
        <v>0</v>
      </c>
      <c r="F28" s="86">
        <f>$C$28/100*調理10!F3</f>
        <v>0</v>
      </c>
      <c r="G28" s="86">
        <f>$C$28/100*調理10!G3</f>
        <v>0</v>
      </c>
      <c r="H28" s="86">
        <f>$C$28/100*調理10!H3</f>
        <v>0</v>
      </c>
      <c r="I28" s="86">
        <f>$C$28/100*調理10!I3</f>
        <v>0</v>
      </c>
      <c r="J28" s="86">
        <f>$C$28/100*調理10!J3</f>
        <v>0</v>
      </c>
      <c r="K28" s="86">
        <f>$C$28/100*調理10!K3</f>
        <v>0</v>
      </c>
      <c r="L28" s="86">
        <f>$C$28/100*調理10!L3</f>
        <v>0</v>
      </c>
      <c r="M28" s="86"/>
    </row>
    <row r="29" spans="1:13" ht="13.5" customHeight="1">
      <c r="A29" s="174">
        <v>1</v>
      </c>
      <c r="B29" s="103" t="s">
        <v>253</v>
      </c>
      <c r="C29" s="4">
        <v>2</v>
      </c>
      <c r="D29" s="5">
        <f>C29/100*288</f>
        <v>5.76</v>
      </c>
      <c r="E29" s="11">
        <f>C29/100*14.7</f>
        <v>0.29399999999999998</v>
      </c>
      <c r="F29" s="11">
        <f>C29/100*0.3</f>
        <v>6.0000000000000001E-3</v>
      </c>
      <c r="G29" s="11">
        <f>C29/100*56.5</f>
        <v>1.1300000000000001</v>
      </c>
      <c r="H29" s="11">
        <f t="shared" ref="H29:H30" si="2">C29/100*0</f>
        <v>0</v>
      </c>
      <c r="I29" s="70"/>
      <c r="J29" s="70"/>
      <c r="K29" s="70"/>
      <c r="L29" s="70">
        <f>C29/100*0.1</f>
        <v>2E-3</v>
      </c>
      <c r="M29" s="19" t="s">
        <v>751</v>
      </c>
    </row>
    <row r="30" spans="1:13" ht="13.5" customHeight="1">
      <c r="A30" s="174">
        <v>2</v>
      </c>
      <c r="B30" s="103" t="s">
        <v>366</v>
      </c>
      <c r="C30" s="4">
        <v>6</v>
      </c>
      <c r="D30" s="5">
        <f>C30/100*384</f>
        <v>23.04</v>
      </c>
      <c r="E30" s="11">
        <f>C30/100*0</f>
        <v>0</v>
      </c>
      <c r="F30" s="11">
        <f>C30/100*0</f>
        <v>0</v>
      </c>
      <c r="G30" s="11">
        <f>C30/100*99.2</f>
        <v>5.952</v>
      </c>
      <c r="H30" s="11">
        <f t="shared" si="2"/>
        <v>0</v>
      </c>
      <c r="I30" s="70"/>
      <c r="J30" s="70"/>
      <c r="K30" s="70">
        <f>C30/100*0</f>
        <v>0</v>
      </c>
      <c r="L30" s="70">
        <f>C30/100*0.0025421</f>
        <v>1.52526E-4</v>
      </c>
      <c r="M30" s="19" t="s">
        <v>750</v>
      </c>
    </row>
    <row r="31" spans="1:13" ht="13.5" customHeight="1">
      <c r="A31" s="174">
        <v>3</v>
      </c>
      <c r="B31" s="104" t="s">
        <v>883</v>
      </c>
      <c r="C31" s="4"/>
      <c r="D31" s="5">
        <f>C31/100*14/0.15</f>
        <v>0</v>
      </c>
      <c r="E31" s="11">
        <f>C31/100*1.1/0.15</f>
        <v>0</v>
      </c>
      <c r="F31" s="11">
        <f>C31/100*0/0.15</f>
        <v>0</v>
      </c>
      <c r="G31" s="11">
        <f>C31/100*2.1/0.15</f>
        <v>0</v>
      </c>
      <c r="H31" s="11">
        <f t="shared" ref="H31:H32" si="3">C31/100*0</f>
        <v>0</v>
      </c>
      <c r="I31" s="70"/>
      <c r="J31" s="70"/>
      <c r="K31" s="70"/>
      <c r="L31" s="11">
        <f>C31/100*1.9828543/0.15</f>
        <v>0</v>
      </c>
      <c r="M31" s="19" t="s">
        <v>750</v>
      </c>
    </row>
    <row r="32" spans="1:13" ht="13.5" customHeight="1">
      <c r="A32" s="174">
        <v>4</v>
      </c>
      <c r="B32" s="104" t="s">
        <v>1022</v>
      </c>
      <c r="C32" s="4"/>
      <c r="D32" s="5">
        <f>C32/100*5</f>
        <v>0</v>
      </c>
      <c r="E32" s="11">
        <f>C32/100*0</f>
        <v>0</v>
      </c>
      <c r="F32" s="11">
        <f>C32/100*0</f>
        <v>0</v>
      </c>
      <c r="G32" s="11">
        <f>C32/100*2.3</f>
        <v>0</v>
      </c>
      <c r="H32" s="11">
        <f t="shared" si="3"/>
        <v>0</v>
      </c>
      <c r="I32" s="70"/>
      <c r="J32" s="70"/>
      <c r="K32" s="70">
        <f>C32/100*2.1</f>
        <v>0</v>
      </c>
      <c r="L32" s="70">
        <f>C32/100*0</f>
        <v>0</v>
      </c>
      <c r="M32" s="3">
        <v>6</v>
      </c>
    </row>
    <row r="33" spans="1:13" ht="13.5" customHeight="1">
      <c r="A33" s="174">
        <v>5</v>
      </c>
      <c r="B33" s="81" t="s">
        <v>448</v>
      </c>
      <c r="C33" s="4"/>
      <c r="D33" s="5">
        <f>C33/100*151</f>
        <v>0</v>
      </c>
      <c r="E33" s="11">
        <f>C33/100*12.3</f>
        <v>0</v>
      </c>
      <c r="F33" s="11">
        <f>C33/100*10.3</f>
        <v>0</v>
      </c>
      <c r="G33" s="11">
        <f>C33/100*0.3</f>
        <v>0</v>
      </c>
      <c r="H33" s="11">
        <f>C33/100*420</f>
        <v>0</v>
      </c>
      <c r="I33" s="70"/>
      <c r="J33" s="70"/>
      <c r="K33" s="70"/>
      <c r="L33" s="70">
        <f>C33/100*0.4</f>
        <v>0</v>
      </c>
      <c r="M33" s="3">
        <v>3</v>
      </c>
    </row>
    <row r="34" spans="1:13" ht="13.5" customHeight="1">
      <c r="A34" s="174">
        <v>6</v>
      </c>
      <c r="B34" s="81" t="s">
        <v>491</v>
      </c>
      <c r="C34" s="4"/>
      <c r="D34" s="5">
        <f>C34/100*114</f>
        <v>0</v>
      </c>
      <c r="E34" s="11">
        <f>C34/100*24.6</f>
        <v>0</v>
      </c>
      <c r="F34" s="11">
        <f>C34/100*1.1</f>
        <v>0</v>
      </c>
      <c r="G34" s="11">
        <f t="shared" ref="G34" si="4">C34/100*0</f>
        <v>0</v>
      </c>
      <c r="H34" s="11">
        <f>C34/100*52</f>
        <v>0</v>
      </c>
      <c r="I34" s="70"/>
      <c r="J34" s="70"/>
      <c r="K34" s="70"/>
      <c r="L34" s="70">
        <f>C34/100*0.1</f>
        <v>0</v>
      </c>
      <c r="M34" s="3">
        <v>3</v>
      </c>
    </row>
    <row r="35" spans="1:13" ht="13.5" customHeight="1">
      <c r="A35" s="174">
        <v>7</v>
      </c>
      <c r="B35" s="104" t="s">
        <v>896</v>
      </c>
      <c r="C35" s="4"/>
      <c r="D35" s="5">
        <f>C35/100*137/0.9</f>
        <v>0</v>
      </c>
      <c r="E35" s="11">
        <f>C35/100*14.2/0.9</f>
        <v>0</v>
      </c>
      <c r="F35" s="11">
        <f>C35/100*8.9/0.9</f>
        <v>0</v>
      </c>
      <c r="G35" s="11">
        <f>C35/100*0.1/0.9</f>
        <v>0</v>
      </c>
      <c r="H35" s="11">
        <f>C35/100*80.1/0.9</f>
        <v>0</v>
      </c>
      <c r="I35" s="70"/>
      <c r="J35" s="70"/>
      <c r="K35" s="70"/>
      <c r="L35" s="11">
        <f>C35/100*0.6431566/0.9</f>
        <v>0</v>
      </c>
      <c r="M35" s="3">
        <v>3</v>
      </c>
    </row>
    <row r="36" spans="1:13" ht="13.5" customHeight="1">
      <c r="A36" s="174">
        <v>8</v>
      </c>
      <c r="B36" s="81" t="s">
        <v>878</v>
      </c>
      <c r="C36" s="4"/>
      <c r="D36" s="5">
        <f>C36/100*117</f>
        <v>0</v>
      </c>
      <c r="E36" s="11">
        <f>C36/100*24.1</f>
        <v>0</v>
      </c>
      <c r="F36" s="11">
        <f>C36/100*1.5</f>
        <v>0</v>
      </c>
      <c r="G36" s="11">
        <f>C36/100*0.3</f>
        <v>0</v>
      </c>
      <c r="H36" s="11">
        <f>C36/100*380</f>
        <v>0</v>
      </c>
      <c r="I36" s="70"/>
      <c r="J36" s="70"/>
      <c r="K36" s="70"/>
      <c r="L36" s="70">
        <f>C36/100*1.2</f>
        <v>0</v>
      </c>
      <c r="M36" s="3">
        <v>3</v>
      </c>
    </row>
    <row r="37" spans="1:13" ht="13.5" customHeight="1">
      <c r="A37" s="174">
        <v>9</v>
      </c>
      <c r="B37" s="104" t="s">
        <v>643</v>
      </c>
      <c r="C37" s="4"/>
      <c r="D37" s="5">
        <f>C37/100*108</f>
        <v>0</v>
      </c>
      <c r="E37" s="11">
        <f>C37/100*22.8</f>
        <v>0</v>
      </c>
      <c r="F37" s="11">
        <f>C37/100*1.2</f>
        <v>0</v>
      </c>
      <c r="G37" s="11">
        <f>C37/100*0.2</f>
        <v>0</v>
      </c>
      <c r="H37" s="11">
        <f>C37/100*43</f>
        <v>0</v>
      </c>
      <c r="I37" s="70"/>
      <c r="J37" s="70"/>
      <c r="K37" s="70"/>
      <c r="L37" s="70">
        <f>C37/100*0.1</f>
        <v>0</v>
      </c>
      <c r="M37" s="3">
        <v>3</v>
      </c>
    </row>
    <row r="38" spans="1:13" ht="13.5" customHeight="1">
      <c r="A38" s="174">
        <v>10</v>
      </c>
      <c r="B38" s="81" t="s">
        <v>830</v>
      </c>
      <c r="C38" s="4"/>
      <c r="D38" s="5">
        <f>C38/100*139</f>
        <v>0</v>
      </c>
      <c r="E38" s="11">
        <f>C38/100*22.51</f>
        <v>0</v>
      </c>
      <c r="F38" s="11">
        <f>C38/100*4.51</f>
        <v>0</v>
      </c>
      <c r="G38" s="11">
        <f>C38/100*0.11</f>
        <v>0</v>
      </c>
      <c r="H38" s="11">
        <f>C38/100*59</f>
        <v>0</v>
      </c>
      <c r="I38" s="70"/>
      <c r="J38" s="70"/>
      <c r="K38" s="70"/>
      <c r="L38" s="70">
        <f>C38/100*0.1449008</f>
        <v>0</v>
      </c>
      <c r="M38" s="3">
        <v>3</v>
      </c>
    </row>
    <row r="39" spans="1:13" ht="13.5" customHeight="1">
      <c r="A39" s="174">
        <v>11</v>
      </c>
      <c r="B39" s="81" t="s">
        <v>1272</v>
      </c>
      <c r="C39" s="4"/>
      <c r="D39" s="5">
        <f>C39/100*231</f>
        <v>0</v>
      </c>
      <c r="E39" s="11">
        <f>C39/100*19.15</f>
        <v>0</v>
      </c>
      <c r="F39" s="11">
        <f>C39/100*15.9</f>
        <v>0</v>
      </c>
      <c r="G39" s="11">
        <f>C39/100*0.15</f>
        <v>0</v>
      </c>
      <c r="H39" s="11">
        <f>C39/100*149</f>
        <v>0</v>
      </c>
      <c r="I39" s="70"/>
      <c r="J39" s="70"/>
      <c r="K39" s="70"/>
      <c r="L39" s="11">
        <f>C39/100*0.35</f>
        <v>0</v>
      </c>
      <c r="M39" s="3">
        <v>3</v>
      </c>
    </row>
    <row r="40" spans="1:13" ht="13.5" customHeight="1">
      <c r="A40" s="174">
        <v>12</v>
      </c>
      <c r="B40" s="104" t="s">
        <v>732</v>
      </c>
      <c r="C40" s="4"/>
      <c r="D40" s="5">
        <f>C40/100*54</f>
        <v>0</v>
      </c>
      <c r="E40" s="11">
        <f>C40/100*0.2</f>
        <v>0</v>
      </c>
      <c r="F40" s="11">
        <f>C40/100*0.1</f>
        <v>0</v>
      </c>
      <c r="G40" s="11">
        <f>C40/100*14.6</f>
        <v>0</v>
      </c>
      <c r="H40" s="11">
        <f t="shared" ref="H40:H55" si="5">C40/100*0</f>
        <v>0</v>
      </c>
      <c r="I40" s="70">
        <f>C40/100*0.3</f>
        <v>0</v>
      </c>
      <c r="J40" s="70">
        <f>C40/100*1.2</f>
        <v>0</v>
      </c>
      <c r="K40" s="70">
        <f>C40/100*1.5</f>
        <v>0</v>
      </c>
      <c r="L40" s="11">
        <f t="shared" ref="L40:L46" si="6">C40/100*0</f>
        <v>0</v>
      </c>
      <c r="M40" s="3">
        <v>2</v>
      </c>
    </row>
    <row r="41" spans="1:13" ht="13.5" customHeight="1">
      <c r="A41" s="174">
        <v>13</v>
      </c>
      <c r="B41" s="81" t="s">
        <v>1086</v>
      </c>
      <c r="C41" s="4"/>
      <c r="D41" s="5">
        <f>C41/100*40</f>
        <v>0</v>
      </c>
      <c r="E41" s="11">
        <f>C41/100*0.9</f>
        <v>0</v>
      </c>
      <c r="F41" s="11">
        <f>C41/100*0.1</f>
        <v>0</v>
      </c>
      <c r="G41" s="11">
        <f>C41/100*10</f>
        <v>0</v>
      </c>
      <c r="H41" s="11">
        <f t="shared" si="5"/>
        <v>0</v>
      </c>
      <c r="I41" s="70">
        <f>C41/100*0.4</f>
        <v>0</v>
      </c>
      <c r="J41" s="70">
        <f>C41/100*0.8</f>
        <v>0</v>
      </c>
      <c r="K41" s="70">
        <f>C41/100*1.2</f>
        <v>0</v>
      </c>
      <c r="L41" s="11">
        <f t="shared" si="6"/>
        <v>0</v>
      </c>
      <c r="M41" s="3">
        <v>2</v>
      </c>
    </row>
    <row r="42" spans="1:13" ht="13.5" customHeight="1">
      <c r="A42" s="174">
        <v>14</v>
      </c>
      <c r="B42" s="104" t="s">
        <v>541</v>
      </c>
      <c r="C42" s="4"/>
      <c r="D42" s="5">
        <f>C42/100*86</f>
        <v>0</v>
      </c>
      <c r="E42" s="11">
        <f>C42/100*1.1</f>
        <v>0</v>
      </c>
      <c r="F42" s="11">
        <f>C42/100*0.2</f>
        <v>0</v>
      </c>
      <c r="G42" s="11">
        <f>C42/100*22.5</f>
        <v>0</v>
      </c>
      <c r="H42" s="11">
        <f t="shared" si="5"/>
        <v>0</v>
      </c>
      <c r="I42" s="70">
        <f>C42/100*0.1</f>
        <v>0</v>
      </c>
      <c r="J42" s="70">
        <f>C42/100*1</f>
        <v>0</v>
      </c>
      <c r="K42" s="70">
        <f>C42/100*1.1</f>
        <v>0</v>
      </c>
      <c r="L42" s="70">
        <f t="shared" si="6"/>
        <v>0</v>
      </c>
      <c r="M42" s="3">
        <v>2</v>
      </c>
    </row>
    <row r="43" spans="1:13" ht="13.5" customHeight="1">
      <c r="A43" s="174">
        <v>15</v>
      </c>
      <c r="B43" s="81" t="s">
        <v>46</v>
      </c>
      <c r="C43" s="4"/>
      <c r="D43" s="5">
        <f>C43/100*36</f>
        <v>0</v>
      </c>
      <c r="E43" s="11">
        <f>C43/100*1</f>
        <v>0</v>
      </c>
      <c r="F43" s="11">
        <f>C43/100*0.3</f>
        <v>0</v>
      </c>
      <c r="G43" s="11">
        <f>C43/100*8.5</f>
        <v>0</v>
      </c>
      <c r="H43" s="11">
        <f t="shared" si="5"/>
        <v>0</v>
      </c>
      <c r="I43" s="70">
        <f>C43/100*0.6</f>
        <v>0</v>
      </c>
      <c r="J43" s="70">
        <f>C43/100*1</f>
        <v>0</v>
      </c>
      <c r="K43" s="70">
        <f>C43/100*1.6</f>
        <v>0</v>
      </c>
      <c r="L43" s="70">
        <f t="shared" si="6"/>
        <v>0</v>
      </c>
      <c r="M43" s="3">
        <v>2</v>
      </c>
    </row>
    <row r="44" spans="1:13" ht="13.5" customHeight="1">
      <c r="A44" s="174">
        <v>16</v>
      </c>
      <c r="B44" s="104" t="s">
        <v>390</v>
      </c>
      <c r="C44" s="4"/>
      <c r="D44" s="5">
        <f>C44/100*44</f>
        <v>0</v>
      </c>
      <c r="E44" s="11">
        <f>C44/100*0.6</f>
        <v>0</v>
      </c>
      <c r="F44" s="11">
        <f>C44/100*1</f>
        <v>0</v>
      </c>
      <c r="G44" s="11">
        <f>C44/100*9.4</f>
        <v>0</v>
      </c>
      <c r="H44" s="11">
        <f t="shared" si="5"/>
        <v>0</v>
      </c>
      <c r="I44" s="70">
        <f>C44/100*0.4</f>
        <v>0</v>
      </c>
      <c r="J44" s="70">
        <f>C44/100*1.2</f>
        <v>0</v>
      </c>
      <c r="K44" s="70">
        <f>C44/100*1.6</f>
        <v>0</v>
      </c>
      <c r="L44" s="70">
        <f t="shared" si="6"/>
        <v>0</v>
      </c>
      <c r="M44" s="3">
        <v>2</v>
      </c>
    </row>
    <row r="45" spans="1:13" ht="13.5" customHeight="1">
      <c r="A45" s="174">
        <v>17</v>
      </c>
      <c r="B45" s="104" t="s">
        <v>694</v>
      </c>
      <c r="C45" s="4"/>
      <c r="D45" s="5">
        <f>C45/100*40</f>
        <v>0</v>
      </c>
      <c r="E45" s="11">
        <f>C45/100*0.6</f>
        <v>0</v>
      </c>
      <c r="F45" s="11">
        <f>C45/100*0.1</f>
        <v>0</v>
      </c>
      <c r="G45" s="11">
        <f>C45/100*10.2</f>
        <v>0</v>
      </c>
      <c r="H45" s="11">
        <f t="shared" si="5"/>
        <v>0</v>
      </c>
      <c r="I45" s="70">
        <f>C45/100*0.6</f>
        <v>0</v>
      </c>
      <c r="J45" s="70">
        <f>C45/100*0.7</f>
        <v>0</v>
      </c>
      <c r="K45" s="70">
        <f>C45/100*1.3</f>
        <v>0</v>
      </c>
      <c r="L45" s="70">
        <f t="shared" si="6"/>
        <v>0</v>
      </c>
      <c r="M45" s="3">
        <v>2</v>
      </c>
    </row>
    <row r="46" spans="1:13" ht="13.5" customHeight="1">
      <c r="A46" s="174">
        <v>18</v>
      </c>
      <c r="B46" s="103" t="s">
        <v>655</v>
      </c>
      <c r="C46" s="4"/>
      <c r="D46" s="5">
        <f>C46/100*46</f>
        <v>0</v>
      </c>
      <c r="E46" s="11">
        <f>C46/100*0.7</f>
        <v>0</v>
      </c>
      <c r="F46" s="11">
        <f>C46/100*0.1</f>
        <v>0</v>
      </c>
      <c r="G46" s="11">
        <f>C46/100*12</f>
        <v>0</v>
      </c>
      <c r="H46" s="11">
        <f t="shared" si="5"/>
        <v>0</v>
      </c>
      <c r="I46" s="70">
        <f>C46/100*0.5</f>
        <v>0</v>
      </c>
      <c r="J46" s="70">
        <f>C46/100*0.5</f>
        <v>0</v>
      </c>
      <c r="K46" s="70">
        <f>C46/100*1</f>
        <v>0</v>
      </c>
      <c r="L46" s="70">
        <f t="shared" si="6"/>
        <v>0</v>
      </c>
      <c r="M46" s="3">
        <v>2</v>
      </c>
    </row>
    <row r="47" spans="1:13" ht="13.5" customHeight="1">
      <c r="A47" s="174">
        <v>19</v>
      </c>
      <c r="B47" s="104" t="s">
        <v>503</v>
      </c>
      <c r="C47" s="4"/>
      <c r="D47" s="5">
        <f>C47/100*43</f>
        <v>0</v>
      </c>
      <c r="E47" s="11">
        <f>C47/100*0.3</f>
        <v>0</v>
      </c>
      <c r="F47" s="11">
        <f>C47/100*0.1</f>
        <v>0</v>
      </c>
      <c r="G47" s="11">
        <f>C47/100*11.3</f>
        <v>0</v>
      </c>
      <c r="H47" s="11">
        <f t="shared" si="5"/>
        <v>0</v>
      </c>
      <c r="I47" s="70">
        <f>C47/100*0.7</f>
        <v>0</v>
      </c>
      <c r="J47" s="70">
        <f>C47/100*1.2</f>
        <v>0</v>
      </c>
      <c r="K47" s="70">
        <f>C47/100*1.9</f>
        <v>0</v>
      </c>
      <c r="L47" s="70">
        <f>C47/100*0</f>
        <v>0</v>
      </c>
      <c r="M47" s="3">
        <v>2</v>
      </c>
    </row>
    <row r="48" spans="1:13" ht="13.5" customHeight="1">
      <c r="A48" s="174">
        <v>20</v>
      </c>
      <c r="B48" s="103" t="s">
        <v>486</v>
      </c>
      <c r="C48" s="4"/>
      <c r="D48" s="5">
        <f>C48/100*19</f>
        <v>0</v>
      </c>
      <c r="E48" s="11">
        <f>C48/100*0.7</f>
        <v>0</v>
      </c>
      <c r="F48" s="11">
        <f>C48/100*0.1</f>
        <v>0</v>
      </c>
      <c r="G48" s="11">
        <f>C48/100*4.7</f>
        <v>0</v>
      </c>
      <c r="H48" s="11">
        <f t="shared" si="5"/>
        <v>0</v>
      </c>
      <c r="I48" s="70">
        <f>C48/100*0.3</f>
        <v>0</v>
      </c>
      <c r="J48" s="70">
        <f>C48/100*0.7</f>
        <v>0</v>
      </c>
      <c r="K48" s="70">
        <f>C48/100*1</f>
        <v>0</v>
      </c>
      <c r="L48" s="70">
        <f t="shared" ref="L48:L49" si="7">C48/100*0</f>
        <v>0</v>
      </c>
      <c r="M48" s="3">
        <v>6</v>
      </c>
    </row>
    <row r="49" spans="1:13" ht="13.5" customHeight="1">
      <c r="A49" s="174">
        <v>21</v>
      </c>
      <c r="B49" s="103" t="s">
        <v>261</v>
      </c>
      <c r="C49" s="4"/>
      <c r="D49" s="5">
        <f>C49/100*168</f>
        <v>0</v>
      </c>
      <c r="E49" s="11">
        <f>C49/100*2.5</f>
        <v>0</v>
      </c>
      <c r="F49" s="11">
        <f>C49/100*0.3</f>
        <v>0</v>
      </c>
      <c r="G49" s="11">
        <f>C49/100*37.1</f>
        <v>0</v>
      </c>
      <c r="H49" s="11">
        <f t="shared" si="5"/>
        <v>0</v>
      </c>
      <c r="I49" s="70">
        <f>C49/100*0</f>
        <v>0</v>
      </c>
      <c r="J49" s="70">
        <f>C49/100*0.3</f>
        <v>0</v>
      </c>
      <c r="K49" s="70">
        <f>C49/100*0.3</f>
        <v>0</v>
      </c>
      <c r="L49" s="70">
        <f t="shared" si="7"/>
        <v>0</v>
      </c>
      <c r="M49" s="3">
        <v>1</v>
      </c>
    </row>
    <row r="50" spans="1:13" ht="13.5" customHeight="1">
      <c r="A50" s="174">
        <v>22</v>
      </c>
      <c r="B50" s="81" t="s">
        <v>549</v>
      </c>
      <c r="C50" s="4"/>
      <c r="D50" s="5">
        <f>C50/100*264</f>
        <v>0</v>
      </c>
      <c r="E50" s="11">
        <f>C50/100*9.3</f>
        <v>0</v>
      </c>
      <c r="F50" s="11">
        <f>C50/100*4.4</f>
        <v>0</v>
      </c>
      <c r="G50" s="11">
        <f>C50/100*46.7</f>
        <v>0</v>
      </c>
      <c r="H50" s="11">
        <f t="shared" si="5"/>
        <v>0</v>
      </c>
      <c r="I50" s="70">
        <f>C50/100*0.4</f>
        <v>0</v>
      </c>
      <c r="J50" s="70">
        <f>C50/100*1.9</f>
        <v>0</v>
      </c>
      <c r="K50" s="70">
        <f>C50/100*2.3</f>
        <v>0</v>
      </c>
      <c r="L50" s="70">
        <f>C50/100*1.3</f>
        <v>0</v>
      </c>
      <c r="M50" s="19">
        <v>1</v>
      </c>
    </row>
    <row r="51" spans="1:13" ht="13.5" customHeight="1">
      <c r="A51" s="174">
        <v>23</v>
      </c>
      <c r="B51" s="81" t="s">
        <v>48</v>
      </c>
      <c r="C51" s="4"/>
      <c r="D51" s="5">
        <f>C51/100*280</f>
        <v>0</v>
      </c>
      <c r="E51" s="11">
        <f>C51/100*7.9</f>
        <v>0</v>
      </c>
      <c r="F51" s="11">
        <f>C51/100*5.3</f>
        <v>0</v>
      </c>
      <c r="G51" s="11">
        <f>C51/100*50.2</f>
        <v>0</v>
      </c>
      <c r="H51" s="11">
        <f t="shared" si="5"/>
        <v>0</v>
      </c>
      <c r="I51" s="70">
        <f>C51/100*0.7</f>
        <v>0</v>
      </c>
      <c r="J51" s="70">
        <f>C51/100*2</f>
        <v>0</v>
      </c>
      <c r="K51" s="70">
        <f>C51/100*2.7</f>
        <v>0</v>
      </c>
      <c r="L51" s="70">
        <f>C51/100*0.7</f>
        <v>0</v>
      </c>
      <c r="M51" s="19" t="s">
        <v>751</v>
      </c>
    </row>
    <row r="52" spans="1:13" ht="13.5" customHeight="1">
      <c r="A52" s="174">
        <v>24</v>
      </c>
      <c r="B52" s="103" t="s">
        <v>586</v>
      </c>
      <c r="C52" s="4"/>
      <c r="D52" s="5">
        <f>C52/100*59</f>
        <v>0</v>
      </c>
      <c r="E52" s="11">
        <f>C52/100*0.4</f>
        <v>0</v>
      </c>
      <c r="F52" s="11">
        <f>C52/100*0.1</f>
        <v>0</v>
      </c>
      <c r="G52" s="11">
        <f>C52/100*15.7</f>
        <v>0</v>
      </c>
      <c r="H52" s="11">
        <f t="shared" si="5"/>
        <v>0</v>
      </c>
      <c r="I52" s="70">
        <f>C52/100*0.2</f>
        <v>0</v>
      </c>
      <c r="J52" s="70">
        <f>C52/100*0.3</f>
        <v>0</v>
      </c>
      <c r="K52" s="70">
        <f>C52/100*0.5</f>
        <v>0</v>
      </c>
      <c r="L52" s="70">
        <f>C52/100*0</f>
        <v>0</v>
      </c>
      <c r="M52" s="3">
        <v>2</v>
      </c>
    </row>
    <row r="53" spans="1:13" ht="13.5" customHeight="1">
      <c r="A53" s="174">
        <v>25</v>
      </c>
      <c r="B53" s="104" t="s">
        <v>658</v>
      </c>
      <c r="C53" s="4"/>
      <c r="D53" s="5">
        <f>C53/100*166/0.7</f>
        <v>0</v>
      </c>
      <c r="E53" s="11">
        <f>C53/100*1.7/0.7</f>
        <v>0</v>
      </c>
      <c r="F53" s="11">
        <f>C53/100*0.2/0.7</f>
        <v>0</v>
      </c>
      <c r="G53" s="11">
        <f>C53/100*39.4/0.7</f>
        <v>0</v>
      </c>
      <c r="H53" s="11">
        <f t="shared" si="5"/>
        <v>0</v>
      </c>
      <c r="I53" s="70"/>
      <c r="J53" s="70"/>
      <c r="K53" s="70"/>
      <c r="L53" s="11">
        <f>C53/100*0.0022879/0.7</f>
        <v>0</v>
      </c>
      <c r="M53" s="19" t="s">
        <v>751</v>
      </c>
    </row>
    <row r="54" spans="1:13" ht="13.5" customHeight="1">
      <c r="A54" s="174">
        <v>26</v>
      </c>
      <c r="B54" s="104" t="s">
        <v>203</v>
      </c>
      <c r="C54" s="4"/>
      <c r="D54" s="5">
        <f>C54/100*352</f>
        <v>0</v>
      </c>
      <c r="E54" s="11">
        <f>C54/100*2.1</f>
        <v>0</v>
      </c>
      <c r="F54" s="11">
        <f>C54/100*1.1</f>
        <v>0</v>
      </c>
      <c r="G54" s="11">
        <f>C54/100*83.5</f>
        <v>0</v>
      </c>
      <c r="H54" s="11">
        <f t="shared" si="5"/>
        <v>0</v>
      </c>
      <c r="I54" s="70"/>
      <c r="J54" s="70"/>
      <c r="K54" s="70">
        <f>C54/100*0.15</f>
        <v>0</v>
      </c>
      <c r="L54" s="11">
        <f>C54/100*0.0915163</f>
        <v>0</v>
      </c>
      <c r="M54" s="19" t="s">
        <v>751</v>
      </c>
    </row>
    <row r="55" spans="1:13" ht="13.5" customHeight="1">
      <c r="A55" s="174">
        <v>27</v>
      </c>
      <c r="B55" s="81" t="s">
        <v>1083</v>
      </c>
      <c r="C55" s="4"/>
      <c r="D55" s="5">
        <f>C55/100*371</f>
        <v>0</v>
      </c>
      <c r="E55" s="11">
        <f>C55/100*14.4</f>
        <v>0</v>
      </c>
      <c r="F55" s="11">
        <f>C55/100*8.2</f>
        <v>0</v>
      </c>
      <c r="G55" s="11">
        <f>C55/100*63.2</f>
        <v>0</v>
      </c>
      <c r="H55" s="11">
        <f t="shared" si="5"/>
        <v>0</v>
      </c>
      <c r="I55" s="70"/>
      <c r="J55" s="70"/>
      <c r="K55" s="70">
        <f>C55/100*6.7</f>
        <v>0</v>
      </c>
      <c r="L55" s="11">
        <f>C55/100*0</f>
        <v>0</v>
      </c>
      <c r="M55" s="19" t="s">
        <v>751</v>
      </c>
    </row>
    <row r="56" spans="1:13" ht="13.5" customHeight="1">
      <c r="A56" s="174">
        <v>28</v>
      </c>
      <c r="B56" s="104" t="s">
        <v>607</v>
      </c>
      <c r="C56" s="4">
        <v>36</v>
      </c>
      <c r="D56" s="5">
        <f>C56/100*256</f>
        <v>92.16</v>
      </c>
      <c r="E56" s="11">
        <f>C56/100*2.6</f>
        <v>0.93599999999999994</v>
      </c>
      <c r="F56" s="11">
        <f>C56/100*0.6</f>
        <v>0.216</v>
      </c>
      <c r="G56" s="11">
        <f>C56/100*67.5</f>
        <v>24.3</v>
      </c>
      <c r="H56" s="11">
        <f t="shared" ref="H56" si="8">C56/100*0</f>
        <v>0</v>
      </c>
      <c r="I56" s="70"/>
      <c r="J56" s="70"/>
      <c r="K56" s="70">
        <f>C56/100*7</f>
        <v>2.52</v>
      </c>
      <c r="L56" s="11">
        <f>C56/100*0.1804905</f>
        <v>6.4976579999999992E-2</v>
      </c>
      <c r="M56" s="3">
        <v>1</v>
      </c>
    </row>
    <row r="57" spans="1:13" ht="13.5" customHeight="1">
      <c r="A57" s="174">
        <v>29</v>
      </c>
      <c r="B57" s="104" t="s">
        <v>56</v>
      </c>
      <c r="C57" s="4"/>
      <c r="D57" s="5">
        <f>C57/100*241</f>
        <v>0</v>
      </c>
      <c r="E57" s="11">
        <f>C57/100*30.5</f>
        <v>0</v>
      </c>
      <c r="F57" s="11">
        <f>C57/100*1.3</f>
        <v>0</v>
      </c>
      <c r="G57" s="11">
        <f>C57/100*26.7</f>
        <v>0</v>
      </c>
      <c r="H57" s="11">
        <f>C57/100*280</f>
        <v>0</v>
      </c>
      <c r="I57" s="70"/>
      <c r="J57" s="70"/>
      <c r="K57" s="70"/>
      <c r="L57" s="11">
        <f>C57/100*3.8131815</f>
        <v>0</v>
      </c>
      <c r="M57" s="3">
        <v>3</v>
      </c>
    </row>
    <row r="58" spans="1:13" ht="13.5" customHeight="1">
      <c r="A58" s="174">
        <v>30</v>
      </c>
      <c r="B58" s="104" t="s">
        <v>630</v>
      </c>
      <c r="C58" s="4"/>
      <c r="D58" s="5">
        <f>C58/100*397</f>
        <v>0</v>
      </c>
      <c r="E58" s="11">
        <f>C58/100*3.3</f>
        <v>0</v>
      </c>
      <c r="F58" s="11">
        <f>C58/100*2.9</f>
        <v>0</v>
      </c>
      <c r="G58" s="11">
        <f>C58/100*89.3</f>
        <v>0</v>
      </c>
      <c r="H58" s="11">
        <f t="shared" ref="H58:H69" si="9">C58/100*0</f>
        <v>0</v>
      </c>
      <c r="I58" s="70"/>
      <c r="J58" s="70"/>
      <c r="K58" s="70">
        <f>C58/100*0</f>
        <v>0</v>
      </c>
      <c r="L58" s="11">
        <f>C58/100*0.8719477503</f>
        <v>0</v>
      </c>
      <c r="M58" s="19" t="s">
        <v>751</v>
      </c>
    </row>
    <row r="59" spans="1:13" ht="13.5" customHeight="1">
      <c r="A59" s="174">
        <v>31</v>
      </c>
      <c r="B59" s="104" t="s">
        <v>1123</v>
      </c>
      <c r="C59" s="4"/>
      <c r="D59" s="5">
        <f>C59/100*408</f>
        <v>0</v>
      </c>
      <c r="E59" s="11">
        <f>C59/100*4.6</f>
        <v>0</v>
      </c>
      <c r="F59" s="11">
        <f>C59/100*3.7</f>
        <v>0</v>
      </c>
      <c r="G59" s="11">
        <f>C59/100*89</f>
        <v>0</v>
      </c>
      <c r="H59" s="11">
        <f t="shared" si="9"/>
        <v>0</v>
      </c>
      <c r="I59" s="70"/>
      <c r="J59" s="70"/>
      <c r="K59" s="70"/>
      <c r="L59" s="11">
        <f>C59/100*0.8</f>
        <v>0</v>
      </c>
      <c r="M59" s="3">
        <v>6</v>
      </c>
    </row>
    <row r="60" spans="1:13" ht="13.5" customHeight="1">
      <c r="A60" s="174">
        <v>32</v>
      </c>
      <c r="B60" s="104" t="s">
        <v>279</v>
      </c>
      <c r="C60" s="4"/>
      <c r="D60" s="5">
        <f>C60/100*170.5</f>
        <v>0</v>
      </c>
      <c r="E60" s="11">
        <f>C60/100*4.8</f>
        <v>0</v>
      </c>
      <c r="F60" s="11">
        <f>C60/100*1.8</f>
        <v>0</v>
      </c>
      <c r="G60" s="11">
        <f>C60/100*70.4</f>
        <v>0</v>
      </c>
      <c r="H60" s="11">
        <f t="shared" ref="H60:H64" si="10">C60/100*0</f>
        <v>0</v>
      </c>
      <c r="I60" s="70"/>
      <c r="J60" s="70"/>
      <c r="K60" s="70">
        <f>C60/100*36.8</f>
        <v>0</v>
      </c>
      <c r="L60" s="11">
        <f>C60/100*6.8637267</f>
        <v>0</v>
      </c>
      <c r="M60" s="3">
        <v>6</v>
      </c>
    </row>
    <row r="61" spans="1:13" ht="13.5" customHeight="1">
      <c r="A61" s="174">
        <v>33</v>
      </c>
      <c r="B61" s="81" t="s">
        <v>1092</v>
      </c>
      <c r="C61" s="4"/>
      <c r="D61" s="5">
        <f>C61/100*459</f>
        <v>0</v>
      </c>
      <c r="E61" s="11">
        <f>C61/100*11.1</f>
        <v>0</v>
      </c>
      <c r="F61" s="11">
        <f>C61/100*15.8</f>
        <v>0</v>
      </c>
      <c r="G61" s="11">
        <f>C61/100*68</f>
        <v>0</v>
      </c>
      <c r="H61" s="11">
        <f t="shared" si="10"/>
        <v>0</v>
      </c>
      <c r="I61" s="70"/>
      <c r="J61" s="70"/>
      <c r="K61" s="70"/>
      <c r="L61" s="11">
        <f>C61/100*0.66</f>
        <v>0</v>
      </c>
      <c r="M61" s="19" t="s">
        <v>751</v>
      </c>
    </row>
    <row r="62" spans="1:13" ht="13.5" customHeight="1">
      <c r="A62" s="174">
        <v>34</v>
      </c>
      <c r="B62" s="81" t="s">
        <v>1087</v>
      </c>
      <c r="C62" s="4"/>
      <c r="D62" s="5">
        <f>C62/100*380</f>
        <v>0</v>
      </c>
      <c r="E62" s="11">
        <f>C62/100*2.9</f>
        <v>0</v>
      </c>
      <c r="F62" s="11">
        <f>C62/100*1.7</f>
        <v>0</v>
      </c>
      <c r="G62" s="11">
        <f>C62/100*88.2</f>
        <v>0</v>
      </c>
      <c r="H62" s="11">
        <f t="shared" si="10"/>
        <v>0</v>
      </c>
      <c r="I62" s="70"/>
      <c r="J62" s="70"/>
      <c r="K62" s="70"/>
      <c r="L62" s="11">
        <f>C62/100*0.0177948</f>
        <v>0</v>
      </c>
      <c r="M62" s="19" t="s">
        <v>751</v>
      </c>
    </row>
    <row r="63" spans="1:13" ht="13.5" customHeight="1">
      <c r="A63" s="174">
        <v>35</v>
      </c>
      <c r="B63" s="104" t="s">
        <v>730</v>
      </c>
      <c r="C63" s="4"/>
      <c r="D63" s="5">
        <f>C63/100*585</f>
        <v>0</v>
      </c>
      <c r="E63" s="11">
        <f>C63/100*26.5</f>
        <v>0</v>
      </c>
      <c r="F63" s="11">
        <f>C63/100*49.4</f>
        <v>0</v>
      </c>
      <c r="G63" s="11">
        <f>C63/100*19.6</f>
        <v>0</v>
      </c>
      <c r="H63" s="11">
        <f t="shared" si="10"/>
        <v>0</v>
      </c>
      <c r="I63" s="70">
        <f>C63/100*0.3</f>
        <v>0</v>
      </c>
      <c r="J63" s="70">
        <f>C63/100*6.9</f>
        <v>0</v>
      </c>
      <c r="K63" s="70">
        <f>C63/100*7.2</f>
        <v>0</v>
      </c>
      <c r="L63" s="11">
        <f>C63/100*0.0050842</f>
        <v>0</v>
      </c>
      <c r="M63" s="3">
        <v>5</v>
      </c>
    </row>
    <row r="64" spans="1:13" ht="13.5" customHeight="1">
      <c r="A64" s="174">
        <v>36</v>
      </c>
      <c r="B64" s="104" t="s">
        <v>855</v>
      </c>
      <c r="C64" s="4"/>
      <c r="D64" s="5">
        <f>C64/100*190/0.3</f>
        <v>0</v>
      </c>
      <c r="E64" s="11">
        <f>C64/100*7.8/0.3</f>
        <v>0</v>
      </c>
      <c r="F64" s="11">
        <f>C64/100*14.7/0.3</f>
        <v>0</v>
      </c>
      <c r="G64" s="11">
        <f>C64/100*6/0.3</f>
        <v>0</v>
      </c>
      <c r="H64" s="11">
        <f t="shared" si="10"/>
        <v>0</v>
      </c>
      <c r="I64" s="70"/>
      <c r="J64" s="70"/>
      <c r="K64" s="70">
        <f>C64/100*2.1/0.3</f>
        <v>0</v>
      </c>
      <c r="L64" s="11">
        <f>C64/100*0.0040673/0.3</f>
        <v>0</v>
      </c>
      <c r="M64" s="3">
        <v>5</v>
      </c>
    </row>
    <row r="65" spans="1:13" ht="13.5" customHeight="1">
      <c r="A65" s="174">
        <v>37</v>
      </c>
      <c r="B65" s="104" t="s">
        <v>76</v>
      </c>
      <c r="C65" s="4"/>
      <c r="D65" s="5">
        <f>C65/100*435</f>
        <v>0</v>
      </c>
      <c r="E65" s="11">
        <f>C65/100*10.8</f>
        <v>0</v>
      </c>
      <c r="F65" s="11">
        <f>C65/100*10.6</f>
        <v>0</v>
      </c>
      <c r="G65" s="11">
        <f>C65/100*74.1</f>
        <v>0</v>
      </c>
      <c r="H65" s="11">
        <f t="shared" si="9"/>
        <v>0</v>
      </c>
      <c r="I65" s="70"/>
      <c r="J65" s="70"/>
      <c r="K65" s="70"/>
      <c r="L65" s="11">
        <f>C65/100*0.3558969</f>
        <v>0</v>
      </c>
      <c r="M65" s="19" t="s">
        <v>751</v>
      </c>
    </row>
    <row r="66" spans="1:13" ht="13.5" customHeight="1">
      <c r="A66" s="174">
        <v>38</v>
      </c>
      <c r="B66" s="104" t="s">
        <v>995</v>
      </c>
      <c r="C66" s="4"/>
      <c r="D66" s="5">
        <f>C66/100*290/1.4</f>
        <v>0</v>
      </c>
      <c r="E66" s="11">
        <f>C66/100*17.5/1.4</f>
        <v>0</v>
      </c>
      <c r="F66" s="11">
        <f>C66/100*8.5/1.4</f>
        <v>0</v>
      </c>
      <c r="G66" s="11">
        <f>C66/100*40.4/1.4</f>
        <v>0</v>
      </c>
      <c r="H66" s="11">
        <f t="shared" si="9"/>
        <v>0</v>
      </c>
      <c r="I66" s="70"/>
      <c r="J66" s="70"/>
      <c r="K66" s="70">
        <f>C66/100*7.1/1.4</f>
        <v>0</v>
      </c>
      <c r="L66" s="11">
        <f>C66/100*1.1693756/1.4</f>
        <v>0</v>
      </c>
      <c r="M66" s="3">
        <v>3</v>
      </c>
    </row>
    <row r="67" spans="1:13" ht="13.5" customHeight="1">
      <c r="A67" s="174">
        <v>39</v>
      </c>
      <c r="B67" s="81" t="s">
        <v>1248</v>
      </c>
      <c r="C67" s="4"/>
      <c r="D67" s="5">
        <f>C67/100*176</f>
        <v>0</v>
      </c>
      <c r="E67" s="11">
        <f>C67/100*8.5</f>
        <v>0</v>
      </c>
      <c r="F67" s="11">
        <f>C67/100*4.1</f>
        <v>0</v>
      </c>
      <c r="G67" s="11">
        <f>C67/100*31.1</f>
        <v>0</v>
      </c>
      <c r="H67" s="11">
        <f t="shared" si="9"/>
        <v>0</v>
      </c>
      <c r="I67" s="70"/>
      <c r="J67" s="70"/>
      <c r="K67" s="70">
        <f>C67/100*4.2</f>
        <v>0</v>
      </c>
      <c r="L67" s="11">
        <f>C67/100*0.7</f>
        <v>0</v>
      </c>
      <c r="M67" s="19">
        <v>1</v>
      </c>
    </row>
    <row r="68" spans="1:13">
      <c r="A68" s="174">
        <v>40</v>
      </c>
      <c r="B68" s="104" t="s">
        <v>1014</v>
      </c>
      <c r="C68" s="4"/>
      <c r="D68" s="5">
        <f>C68/100*205</f>
        <v>0</v>
      </c>
      <c r="E68" s="11">
        <f>C68/100*16.6</f>
        <v>0</v>
      </c>
      <c r="F68" s="11">
        <f>C68/100*9.8</f>
        <v>0</v>
      </c>
      <c r="G68" s="11">
        <f>C68/100*13.8</f>
        <v>0</v>
      </c>
      <c r="H68" s="11">
        <f t="shared" si="9"/>
        <v>0</v>
      </c>
      <c r="I68" s="70"/>
      <c r="J68" s="70"/>
      <c r="K68" s="70">
        <f>C68/100*8.8</f>
        <v>0</v>
      </c>
      <c r="L68" s="11">
        <f>C68/100*0.6</f>
        <v>0</v>
      </c>
      <c r="M68" s="3">
        <v>3</v>
      </c>
    </row>
    <row r="69" spans="1:13">
      <c r="A69" s="174">
        <v>41</v>
      </c>
      <c r="B69" s="81" t="s">
        <v>1085</v>
      </c>
      <c r="C69" s="4"/>
      <c r="D69" s="5">
        <f>C69/100*200</f>
        <v>0</v>
      </c>
      <c r="E69" s="11">
        <f>C69/100*10.4</f>
        <v>0</v>
      </c>
      <c r="F69" s="11">
        <f>C69/100*3.6</f>
        <v>0</v>
      </c>
      <c r="G69" s="11">
        <f>C69/100*36.5</f>
        <v>0</v>
      </c>
      <c r="H69" s="11">
        <f t="shared" si="9"/>
        <v>0</v>
      </c>
      <c r="I69" s="70"/>
      <c r="J69" s="70"/>
      <c r="K69" s="70">
        <f>C69/100*5.7</f>
        <v>0</v>
      </c>
      <c r="L69" s="11">
        <f>C69/100*0.6584093</f>
        <v>0</v>
      </c>
      <c r="M69" s="19" t="s">
        <v>751</v>
      </c>
    </row>
    <row r="70" spans="1:13">
      <c r="A70" s="174">
        <v>42</v>
      </c>
      <c r="B70" s="81" t="s">
        <v>527</v>
      </c>
      <c r="C70" s="4"/>
      <c r="D70" s="5">
        <f>C70/100*28</f>
        <v>0</v>
      </c>
      <c r="E70" s="11">
        <f>C70/100*6.5</f>
        <v>0</v>
      </c>
      <c r="F70" s="11">
        <f>C70/100*0.1</f>
        <v>0</v>
      </c>
      <c r="G70" s="11">
        <f>C70/100*7.2</f>
        <v>0</v>
      </c>
      <c r="H70" s="11">
        <f t="shared" ref="H70:H71" si="11">C70/100*0</f>
        <v>0</v>
      </c>
      <c r="I70" s="70">
        <f>C70/100*0.2</f>
        <v>0</v>
      </c>
      <c r="J70" s="70">
        <f>C70/100*2</f>
        <v>0</v>
      </c>
      <c r="K70" s="70">
        <f>C70/100*2.2</f>
        <v>0</v>
      </c>
      <c r="L70" s="70">
        <f>C70/100*0</f>
        <v>0</v>
      </c>
      <c r="M70" s="3">
        <v>6</v>
      </c>
    </row>
    <row r="71" spans="1:13">
      <c r="A71" s="174">
        <v>43</v>
      </c>
      <c r="B71" s="104" t="s">
        <v>620</v>
      </c>
      <c r="C71" s="4"/>
      <c r="D71" s="5">
        <f>C71/100*180/0.6726</f>
        <v>0</v>
      </c>
      <c r="E71" s="11">
        <f>C71/100*4.63/0.6726</f>
        <v>0</v>
      </c>
      <c r="F71" s="11">
        <f>C71/100*0.61/0.6726</f>
        <v>0</v>
      </c>
      <c r="G71" s="11">
        <f>C71/100*38.62/0.6726</f>
        <v>0</v>
      </c>
      <c r="H71" s="11">
        <f t="shared" si="11"/>
        <v>0</v>
      </c>
      <c r="I71" s="70"/>
      <c r="J71" s="70"/>
      <c r="K71" s="70">
        <f>C71/100*3.19/0.6726</f>
        <v>0</v>
      </c>
      <c r="L71" s="11">
        <f>C71/100*0.1609416/0.6726</f>
        <v>0</v>
      </c>
      <c r="M71" s="3" t="s">
        <v>754</v>
      </c>
    </row>
    <row r="72" spans="1:13">
      <c r="A72" s="174">
        <v>44</v>
      </c>
      <c r="B72" s="104" t="s">
        <v>1245</v>
      </c>
      <c r="C72" s="4"/>
      <c r="D72" s="5">
        <f>C72/100*88/0.6</f>
        <v>0</v>
      </c>
      <c r="E72" s="11">
        <f>C72/100*12.4/0.6</f>
        <v>0</v>
      </c>
      <c r="F72" s="11">
        <f>C72/100*3.3/0.6</f>
        <v>0</v>
      </c>
      <c r="G72" s="11">
        <f>C72/100*2.1/0.6</f>
        <v>0</v>
      </c>
      <c r="H72" s="11">
        <f>C72/100*24/0.6</f>
        <v>0</v>
      </c>
      <c r="I72" s="70"/>
      <c r="J72" s="70"/>
      <c r="K72" s="70"/>
      <c r="L72" s="11">
        <f>C72/100*1.6/0.6</f>
        <v>0</v>
      </c>
      <c r="M72" s="3">
        <v>3</v>
      </c>
    </row>
    <row r="73" spans="1:13">
      <c r="A73" s="174">
        <v>45</v>
      </c>
      <c r="B73" s="81" t="s">
        <v>218</v>
      </c>
      <c r="C73" s="4"/>
      <c r="D73" s="5">
        <f>C73/100*14</f>
        <v>0</v>
      </c>
      <c r="E73" s="11">
        <f>C73/100*1</f>
        <v>0</v>
      </c>
      <c r="F73" s="11">
        <f>C73/100*0.1</f>
        <v>0</v>
      </c>
      <c r="G73" s="11">
        <f>C73/100*3</f>
        <v>0</v>
      </c>
      <c r="H73" s="11">
        <f>C73/100*0</f>
        <v>0</v>
      </c>
      <c r="I73" s="70">
        <f>C73/100*0.2</f>
        <v>0</v>
      </c>
      <c r="J73" s="70">
        <f>C73/100*0.9</f>
        <v>0</v>
      </c>
      <c r="K73" s="70">
        <f>C73/100*1.1</f>
        <v>0</v>
      </c>
      <c r="L73" s="70">
        <f>C73/100*0</f>
        <v>0</v>
      </c>
      <c r="M73" s="3">
        <v>6</v>
      </c>
    </row>
    <row r="74" spans="1:13">
      <c r="A74" s="174">
        <v>46</v>
      </c>
      <c r="B74" s="81" t="s">
        <v>1254</v>
      </c>
      <c r="C74" s="4"/>
      <c r="D74" s="5">
        <f>C74/100*460</f>
        <v>0</v>
      </c>
      <c r="E74" s="11">
        <f>C74/100*1.8</f>
        <v>0</v>
      </c>
      <c r="F74" s="11">
        <f>C74/100*18.7</f>
        <v>0</v>
      </c>
      <c r="G74" s="11">
        <f>C74/100*74.8</f>
        <v>0</v>
      </c>
      <c r="H74" s="11">
        <f>C74/100*0</f>
        <v>0</v>
      </c>
      <c r="I74" s="70"/>
      <c r="J74" s="70"/>
      <c r="K74" s="70">
        <f>C74/100*7.35</f>
        <v>0</v>
      </c>
      <c r="L74" s="11">
        <f>C74/100*0.0460122</f>
        <v>0</v>
      </c>
      <c r="M74" s="19" t="s">
        <v>751</v>
      </c>
    </row>
    <row r="75" spans="1:13">
      <c r="A75" s="174">
        <v>47</v>
      </c>
      <c r="B75" s="81" t="s">
        <v>1262</v>
      </c>
      <c r="C75" s="4"/>
      <c r="D75" s="5">
        <f>C75/100*316/0.6</f>
        <v>0</v>
      </c>
      <c r="E75" s="11">
        <f>C75/100*2.6/0.6</f>
        <v>0</v>
      </c>
      <c r="F75" s="11">
        <f>C75/100*17.4/0.6</f>
        <v>0</v>
      </c>
      <c r="G75" s="11">
        <f>C75/100*38.3/0.6</f>
        <v>0</v>
      </c>
      <c r="H75" s="11">
        <f>C75/100*0/0.6</f>
        <v>0</v>
      </c>
      <c r="I75" s="70"/>
      <c r="J75" s="70"/>
      <c r="K75" s="70">
        <f>C75/100*2.2/0.6</f>
        <v>0</v>
      </c>
      <c r="L75" s="11">
        <f>C75/100*0.6050247/0.6</f>
        <v>0</v>
      </c>
      <c r="M75" s="19" t="s">
        <v>751</v>
      </c>
    </row>
    <row r="76" spans="1:13">
      <c r="A76" s="174">
        <v>48</v>
      </c>
      <c r="B76" s="104" t="s">
        <v>479</v>
      </c>
      <c r="C76" s="4"/>
      <c r="D76" s="5">
        <f>C76/100*99</f>
        <v>0</v>
      </c>
      <c r="E76" s="11">
        <f>C76/100*3.5</f>
        <v>0</v>
      </c>
      <c r="F76" s="11">
        <f>C76/100*1.7</f>
        <v>0</v>
      </c>
      <c r="G76" s="11">
        <f>C76/100*18.6</f>
        <v>0</v>
      </c>
      <c r="H76" s="11">
        <f t="shared" ref="H76" si="12">C76/100*0</f>
        <v>0</v>
      </c>
      <c r="I76" s="70">
        <f>C76/100*0.3</f>
        <v>0</v>
      </c>
      <c r="J76" s="70">
        <f>C76/100*2.8</f>
        <v>0</v>
      </c>
      <c r="K76" s="70">
        <f>C76/100*3.1</f>
        <v>0</v>
      </c>
      <c r="L76" s="70">
        <f>C76/100*0</f>
        <v>0</v>
      </c>
      <c r="M76" s="3">
        <v>6</v>
      </c>
    </row>
    <row r="77" spans="1:13">
      <c r="A77" s="174">
        <v>49</v>
      </c>
      <c r="B77" s="81" t="s">
        <v>1278</v>
      </c>
      <c r="C77" s="4"/>
      <c r="D77" s="5">
        <f>C77/100*339/0.65</f>
        <v>0</v>
      </c>
      <c r="E77" s="11">
        <f>C77/100*2.8/0.65</f>
        <v>0</v>
      </c>
      <c r="F77" s="11">
        <f>C77/100*18.3/0.65</f>
        <v>0</v>
      </c>
      <c r="G77" s="11">
        <f>C77/100*41/0.65</f>
        <v>0</v>
      </c>
      <c r="H77" s="11">
        <f>C77/100*0/0.65</f>
        <v>0</v>
      </c>
      <c r="I77" s="70"/>
      <c r="J77" s="70"/>
      <c r="K77" s="70">
        <f>C77/100*0.45/0.65</f>
        <v>0</v>
      </c>
      <c r="L77" s="11">
        <f>C77/100*1.7311844/0.65</f>
        <v>0</v>
      </c>
      <c r="M77" s="19" t="s">
        <v>751</v>
      </c>
    </row>
    <row r="78" spans="1:13">
      <c r="A78" s="174">
        <v>50</v>
      </c>
      <c r="B78" s="81" t="s">
        <v>1237</v>
      </c>
      <c r="C78" s="4"/>
      <c r="D78" s="5">
        <f>C78/100*15/0.045</f>
        <v>0</v>
      </c>
      <c r="E78" s="11">
        <f>C78/100*0.02/0.045</f>
        <v>0</v>
      </c>
      <c r="F78" s="11">
        <f>C78/100*0.05/0.045</f>
        <v>0</v>
      </c>
      <c r="G78" s="11">
        <f>C78/100*3.61/0.045</f>
        <v>0</v>
      </c>
      <c r="H78" s="11">
        <f t="shared" ref="H78" si="13">C78/100*0</f>
        <v>0</v>
      </c>
      <c r="I78" s="70"/>
      <c r="J78" s="70"/>
      <c r="K78" s="70">
        <f>C78/100*0.18/0.045</f>
        <v>0</v>
      </c>
      <c r="L78" s="11">
        <f>C78/100*0.0686372/0.045</f>
        <v>0</v>
      </c>
      <c r="M78" s="19" t="s">
        <v>751</v>
      </c>
    </row>
  </sheetData>
  <phoneticPr fontId="1"/>
  <conditionalFormatting sqref="E10">
    <cfRule type="cellIs" dxfId="104" priority="7" operator="between">
      <formula>0.1475</formula>
      <formula>0.1825</formula>
    </cfRule>
    <cfRule type="cellIs" dxfId="103" priority="8" operator="lessThan">
      <formula>0.13</formula>
    </cfRule>
    <cfRule type="cellIs" dxfId="102" priority="9" operator="greaterThan">
      <formula>0.2</formula>
    </cfRule>
  </conditionalFormatting>
  <conditionalFormatting sqref="F10">
    <cfRule type="cellIs" dxfId="101" priority="4" operator="between">
      <formula>0.225</formula>
      <formula>0.275</formula>
    </cfRule>
    <cfRule type="cellIs" dxfId="100" priority="5" operator="lessThan">
      <formula>0.2</formula>
    </cfRule>
    <cfRule type="cellIs" dxfId="99" priority="6" operator="greaterThan">
      <formula>0.3</formula>
    </cfRule>
  </conditionalFormatting>
  <conditionalFormatting sqref="G10">
    <cfRule type="cellIs" dxfId="98" priority="1" operator="between">
      <formula>0.5375</formula>
      <formula>0.6125</formula>
    </cfRule>
    <cfRule type="cellIs" dxfId="97" priority="2" operator="lessThan">
      <formula>0.5</formula>
    </cfRule>
    <cfRule type="cellIs" dxfId="96" priority="3" operator="greaterThan">
      <formula>0.65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1"/>
  <sheetViews>
    <sheetView zoomScale="160" zoomScaleNormal="160" workbookViewId="0">
      <selection sqref="A1:XFD1048576"/>
    </sheetView>
  </sheetViews>
  <sheetFormatPr defaultRowHeight="13.5"/>
  <cols>
    <col min="1" max="1" width="2" customWidth="1"/>
    <col min="2" max="2" width="27.5" bestFit="1" customWidth="1"/>
    <col min="3" max="3" width="12.5" customWidth="1"/>
    <col min="4" max="4" width="7.5" bestFit="1" customWidth="1"/>
    <col min="5" max="5" width="7.125" style="126" bestFit="1" customWidth="1"/>
    <col min="6" max="6" width="6.5" style="126" bestFit="1" customWidth="1"/>
    <col min="7" max="7" width="7.125" style="126" bestFit="1" customWidth="1"/>
    <col min="8" max="8" width="6.5" style="126" bestFit="1" customWidth="1"/>
    <col min="9" max="11" width="5.5" style="126" bestFit="1" customWidth="1"/>
    <col min="12" max="12" width="7.125" style="126" bestFit="1" customWidth="1"/>
    <col min="13" max="13" width="8.5" bestFit="1" customWidth="1"/>
  </cols>
  <sheetData>
    <row r="1" spans="1:13" ht="41.25" thickBot="1">
      <c r="A1" s="72"/>
      <c r="B1" s="104" t="s">
        <v>0</v>
      </c>
      <c r="C1" s="3" t="s">
        <v>1</v>
      </c>
      <c r="D1" s="3" t="s">
        <v>756</v>
      </c>
      <c r="E1" s="96" t="s">
        <v>757</v>
      </c>
      <c r="F1" s="3" t="s">
        <v>4</v>
      </c>
      <c r="G1" s="96" t="s">
        <v>760</v>
      </c>
      <c r="H1" s="120" t="s">
        <v>1148</v>
      </c>
      <c r="I1" s="131" t="s">
        <v>6</v>
      </c>
      <c r="J1" s="131" t="s">
        <v>7</v>
      </c>
      <c r="K1" s="131" t="s">
        <v>8</v>
      </c>
      <c r="L1" s="122" t="s">
        <v>9</v>
      </c>
      <c r="M1" s="89" t="s">
        <v>746</v>
      </c>
    </row>
    <row r="2" spans="1:13">
      <c r="A2" s="72"/>
      <c r="B2" s="140" t="s">
        <v>759</v>
      </c>
      <c r="C2" s="141">
        <f>C10</f>
        <v>453</v>
      </c>
      <c r="D2" s="138">
        <f>SUM(D12:D44)</f>
        <v>502.4283333333334</v>
      </c>
      <c r="E2" s="138">
        <f t="shared" ref="E2:L2" si="0">SUM(E12:E44)</f>
        <v>10.803000000000001</v>
      </c>
      <c r="F2" s="138">
        <f t="shared" si="0"/>
        <v>38.916333333333341</v>
      </c>
      <c r="G2" s="138">
        <f t="shared" si="0"/>
        <v>23.573499999999999</v>
      </c>
      <c r="H2" s="138">
        <f t="shared" si="0"/>
        <v>42.3</v>
      </c>
      <c r="I2" s="138">
        <f t="shared" si="0"/>
        <v>1.06</v>
      </c>
      <c r="J2" s="138">
        <f t="shared" si="0"/>
        <v>3.8740000000000001</v>
      </c>
      <c r="K2" s="138">
        <f t="shared" si="0"/>
        <v>4.9340000000000011</v>
      </c>
      <c r="L2" s="138">
        <f t="shared" si="0"/>
        <v>2.1233404653333339</v>
      </c>
      <c r="M2" s="138"/>
    </row>
    <row r="3" spans="1:13" ht="14.25" thickBot="1">
      <c r="A3" s="72"/>
      <c r="B3" s="142" t="str">
        <f>B10</f>
        <v>野菜・カマボコ・サラダ9/8</v>
      </c>
      <c r="C3" s="143">
        <v>100</v>
      </c>
      <c r="D3" s="144">
        <f>$C$3/$C$2*D2</f>
        <v>110.911331861663</v>
      </c>
      <c r="E3" s="144">
        <f t="shared" ref="E3:L3" si="1">$C$3/$C$2*E2</f>
        <v>2.3847682119205298</v>
      </c>
      <c r="F3" s="144">
        <f t="shared" si="1"/>
        <v>8.5908020603384863</v>
      </c>
      <c r="G3" s="144">
        <f t="shared" si="1"/>
        <v>5.2038631346578361</v>
      </c>
      <c r="H3" s="144">
        <f t="shared" si="1"/>
        <v>9.3377483443708602</v>
      </c>
      <c r="I3" s="144">
        <f t="shared" si="1"/>
        <v>0.23399558498896247</v>
      </c>
      <c r="J3" s="144">
        <f t="shared" si="1"/>
        <v>0.85518763796909492</v>
      </c>
      <c r="K3" s="144">
        <f t="shared" si="1"/>
        <v>1.0891832229580576</v>
      </c>
      <c r="L3" s="144">
        <f t="shared" si="1"/>
        <v>0.46872857954378228</v>
      </c>
      <c r="M3" s="144"/>
    </row>
    <row r="6" spans="1:13">
      <c r="C6" t="s">
        <v>1152</v>
      </c>
      <c r="D6" s="13">
        <v>1129</v>
      </c>
      <c r="E6" s="13">
        <v>333</v>
      </c>
      <c r="F6" s="13">
        <f>D6-E6</f>
        <v>796</v>
      </c>
    </row>
    <row r="7" spans="1:13">
      <c r="C7" t="s">
        <v>1153</v>
      </c>
      <c r="D7" s="13">
        <v>0</v>
      </c>
      <c r="E7" s="13">
        <v>0</v>
      </c>
      <c r="F7" s="43">
        <f>D7-E7</f>
        <v>0</v>
      </c>
    </row>
    <row r="8" spans="1:13">
      <c r="C8" t="s">
        <v>1154</v>
      </c>
      <c r="D8" s="13">
        <v>0</v>
      </c>
      <c r="E8" s="13">
        <v>0</v>
      </c>
      <c r="F8" s="13">
        <f>D8-E8</f>
        <v>0</v>
      </c>
    </row>
    <row r="9" spans="1:13">
      <c r="B9" s="14" t="s">
        <v>1158</v>
      </c>
    </row>
    <row r="10" spans="1:13">
      <c r="A10" s="72"/>
      <c r="B10" s="130" t="s">
        <v>1257</v>
      </c>
      <c r="C10" s="230">
        <v>453</v>
      </c>
      <c r="D10" s="169"/>
      <c r="E10" s="127"/>
      <c r="F10" s="127"/>
      <c r="G10" s="127"/>
      <c r="H10" s="127"/>
      <c r="I10" s="127"/>
      <c r="J10" s="127"/>
      <c r="K10" s="127"/>
      <c r="L10" s="127"/>
      <c r="M10" s="72"/>
    </row>
    <row r="11" spans="1:13" ht="52.5" customHeight="1">
      <c r="A11" s="72"/>
      <c r="B11" s="104" t="s">
        <v>0</v>
      </c>
      <c r="C11" s="3" t="s">
        <v>1</v>
      </c>
      <c r="D11" s="3" t="s">
        <v>756</v>
      </c>
      <c r="E11" s="96" t="s">
        <v>757</v>
      </c>
      <c r="F11" s="3" t="s">
        <v>4</v>
      </c>
      <c r="G11" s="96" t="s">
        <v>760</v>
      </c>
      <c r="H11" s="120" t="s">
        <v>1148</v>
      </c>
      <c r="I11" s="131" t="s">
        <v>6</v>
      </c>
      <c r="J11" s="131" t="s">
        <v>7</v>
      </c>
      <c r="K11" s="131" t="s">
        <v>8</v>
      </c>
      <c r="L11" s="122" t="s">
        <v>9</v>
      </c>
      <c r="M11" s="89" t="s">
        <v>746</v>
      </c>
    </row>
    <row r="12" spans="1:13">
      <c r="A12" s="72"/>
      <c r="B12" s="81" t="s">
        <v>218</v>
      </c>
      <c r="C12" s="4">
        <v>82</v>
      </c>
      <c r="D12" s="5">
        <f>C12/100*14</f>
        <v>11.479999999999999</v>
      </c>
      <c r="E12" s="11">
        <f>C12/100*1</f>
        <v>0.82</v>
      </c>
      <c r="F12" s="11">
        <f>C12/100*0.1</f>
        <v>8.2000000000000003E-2</v>
      </c>
      <c r="G12" s="11">
        <f>C12/100*3</f>
        <v>2.46</v>
      </c>
      <c r="H12" s="70">
        <f>C12/100*0</f>
        <v>0</v>
      </c>
      <c r="I12" s="70">
        <f>C12/100*0.2</f>
        <v>0.16400000000000001</v>
      </c>
      <c r="J12" s="70">
        <f>C12/100*0.9</f>
        <v>0.73799999999999999</v>
      </c>
      <c r="K12" s="70">
        <f>C12/100*1.1</f>
        <v>0.90200000000000002</v>
      </c>
      <c r="L12" s="70">
        <f>C12/100*0</f>
        <v>0</v>
      </c>
      <c r="M12" s="3">
        <v>6</v>
      </c>
    </row>
    <row r="13" spans="1:13">
      <c r="A13" s="72"/>
      <c r="B13" s="81" t="s">
        <v>205</v>
      </c>
      <c r="C13" s="4">
        <v>224</v>
      </c>
      <c r="D13" s="5">
        <f>C13/100*23</f>
        <v>51.52</v>
      </c>
      <c r="E13" s="11">
        <f>C13/100*1.3</f>
        <v>2.9120000000000004</v>
      </c>
      <c r="F13" s="11">
        <f>C13/100*0.2</f>
        <v>0.44800000000000006</v>
      </c>
      <c r="G13" s="11">
        <f>C13/100*5.2</f>
        <v>11.648000000000001</v>
      </c>
      <c r="H13" s="70">
        <f t="shared" ref="H13" si="2">C13/100*0</f>
        <v>0</v>
      </c>
      <c r="I13" s="70">
        <f>C13/100*0.4</f>
        <v>0.89600000000000013</v>
      </c>
      <c r="J13" s="70">
        <f>C13/100*1.4</f>
        <v>3.1360000000000001</v>
      </c>
      <c r="K13" s="70">
        <f>C13/100*1.8</f>
        <v>4.0320000000000009</v>
      </c>
      <c r="L13" s="70">
        <f>C13/100*0</f>
        <v>0</v>
      </c>
      <c r="M13" s="3">
        <v>6</v>
      </c>
    </row>
    <row r="14" spans="1:13">
      <c r="A14" s="72"/>
      <c r="B14" s="81" t="s">
        <v>1256</v>
      </c>
      <c r="C14" s="4">
        <v>74</v>
      </c>
      <c r="D14" s="5">
        <f>C14/100*76</f>
        <v>56.24</v>
      </c>
      <c r="E14" s="11">
        <f>C14/100*8.5</f>
        <v>6.29</v>
      </c>
      <c r="F14" s="11">
        <f>C14/100*0.3</f>
        <v>0.222</v>
      </c>
      <c r="G14" s="11">
        <f>C14/100*9.8</f>
        <v>7.2520000000000007</v>
      </c>
      <c r="H14" s="11">
        <f>C14/100*15</f>
        <v>11.1</v>
      </c>
      <c r="I14" s="70"/>
      <c r="J14" s="70"/>
      <c r="K14" s="70"/>
      <c r="L14" s="11">
        <f>C14/100*1.6777998</f>
        <v>1.2415718520000001</v>
      </c>
      <c r="M14" s="19">
        <v>3</v>
      </c>
    </row>
    <row r="15" spans="1:13">
      <c r="A15" s="72"/>
      <c r="B15" s="104" t="s">
        <v>650</v>
      </c>
      <c r="C15" s="4">
        <v>52</v>
      </c>
      <c r="D15" s="5">
        <f>C15/100*110/0.15</f>
        <v>381.33333333333337</v>
      </c>
      <c r="E15" s="11">
        <f>C15/100*0.21/0.15</f>
        <v>0.72800000000000009</v>
      </c>
      <c r="F15" s="11">
        <f>C15/100*11/0.15</f>
        <v>38.13333333333334</v>
      </c>
      <c r="G15" s="11">
        <f>C15/100*0.54/0.15</f>
        <v>1.8720000000000003</v>
      </c>
      <c r="H15" s="11">
        <f>C15/100*9/0.15</f>
        <v>31.2</v>
      </c>
      <c r="I15" s="70"/>
      <c r="J15" s="70"/>
      <c r="K15" s="70"/>
      <c r="L15" s="11">
        <f>C15/100*0.2542121/0.15</f>
        <v>0.88126861333333351</v>
      </c>
      <c r="M15" s="3">
        <v>5</v>
      </c>
    </row>
    <row r="16" spans="1:13">
      <c r="A16" s="72"/>
      <c r="B16" s="103" t="s">
        <v>259</v>
      </c>
      <c r="C16" s="4">
        <v>0.5</v>
      </c>
      <c r="D16" s="5">
        <f>C16/100*371</f>
        <v>1.855</v>
      </c>
      <c r="E16" s="11">
        <f>C16/100*10.6</f>
        <v>5.2999999999999999E-2</v>
      </c>
      <c r="F16" s="11">
        <f>C16/100*6.2</f>
        <v>3.1000000000000003E-2</v>
      </c>
      <c r="G16" s="11">
        <f>C16/100*68.3</f>
        <v>0.34149999999999997</v>
      </c>
      <c r="H16" s="11">
        <f t="shared" ref="H16" si="3">C16/100*0</f>
        <v>0</v>
      </c>
      <c r="I16" s="70"/>
      <c r="J16" s="70"/>
      <c r="K16" s="70"/>
      <c r="L16" s="70">
        <f>C16/100*0.1</f>
        <v>5.0000000000000001E-4</v>
      </c>
      <c r="M16" s="19" t="s">
        <v>750</v>
      </c>
    </row>
    <row r="17" spans="1:13">
      <c r="A17" s="72"/>
      <c r="B17" s="104" t="s">
        <v>371</v>
      </c>
      <c r="C17" s="4"/>
      <c r="D17" s="5">
        <f>C17/100*0</f>
        <v>0</v>
      </c>
      <c r="E17" s="11">
        <f>C17/100*0</f>
        <v>0</v>
      </c>
      <c r="F17" s="11">
        <f>C17/100*0</f>
        <v>0</v>
      </c>
      <c r="G17" s="11">
        <f>C17/100*0</f>
        <v>0</v>
      </c>
      <c r="H17" s="70">
        <f t="shared" ref="H17" si="4">C17/100*0</f>
        <v>0</v>
      </c>
      <c r="I17" s="70">
        <f>C17/100*0</f>
        <v>0</v>
      </c>
      <c r="J17" s="70">
        <f>C17/100*0</f>
        <v>0</v>
      </c>
      <c r="K17" s="70">
        <f>C17/100*0</f>
        <v>0</v>
      </c>
      <c r="L17" s="11">
        <f>C17/100*99.142719</f>
        <v>0</v>
      </c>
      <c r="M17" s="3"/>
    </row>
    <row r="18" spans="1:13">
      <c r="A18" s="72"/>
      <c r="B18" s="81" t="s">
        <v>523</v>
      </c>
      <c r="C18" s="4"/>
      <c r="D18" s="5">
        <f>C18/100*37</f>
        <v>0</v>
      </c>
      <c r="E18" s="11">
        <f>C18/100*0.6</f>
        <v>0</v>
      </c>
      <c r="F18" s="11">
        <f>C18/100*0.1</f>
        <v>0</v>
      </c>
      <c r="G18" s="11">
        <f>C18/100*9.1</f>
        <v>0</v>
      </c>
      <c r="H18" s="70">
        <f t="shared" ref="H18:H22" si="5">C18/100*0</f>
        <v>0</v>
      </c>
      <c r="I18" s="70">
        <f>C18/100*0.7</f>
        <v>0</v>
      </c>
      <c r="J18" s="70">
        <f>C18/100*2</f>
        <v>0</v>
      </c>
      <c r="K18" s="70">
        <f>C18/100*2.7</f>
        <v>0</v>
      </c>
      <c r="L18" s="70">
        <f>C18/100*0.1</f>
        <v>0</v>
      </c>
      <c r="M18" s="3">
        <v>6</v>
      </c>
    </row>
    <row r="19" spans="1:13">
      <c r="A19" s="72"/>
      <c r="B19" s="104" t="s">
        <v>814</v>
      </c>
      <c r="C19" s="4"/>
      <c r="D19" s="5">
        <f>C19/100*44</f>
        <v>0</v>
      </c>
      <c r="E19" s="11">
        <f>C19/100*3.7</f>
        <v>0</v>
      </c>
      <c r="F19" s="11">
        <f>C19/100*0.7</f>
        <v>0</v>
      </c>
      <c r="G19" s="11">
        <f>C19/100*8.2</f>
        <v>0</v>
      </c>
      <c r="H19" s="70">
        <f t="shared" si="5"/>
        <v>0</v>
      </c>
      <c r="I19" s="70">
        <f>C19/100*0.6</f>
        <v>0</v>
      </c>
      <c r="J19" s="70">
        <f>C19/100*6.2</f>
        <v>0</v>
      </c>
      <c r="K19" s="70">
        <f>C19/100*6.8</f>
        <v>0</v>
      </c>
      <c r="L19" s="11">
        <f>C19/100*0</f>
        <v>0</v>
      </c>
      <c r="M19" s="3">
        <v>6</v>
      </c>
    </row>
    <row r="20" spans="1:13">
      <c r="A20" s="72"/>
      <c r="B20" s="104" t="s">
        <v>379</v>
      </c>
      <c r="C20" s="4"/>
      <c r="D20" s="5">
        <f>C20/100*3.8/0.15</f>
        <v>0</v>
      </c>
      <c r="E20" s="11">
        <f>C20/100*0/0.15</f>
        <v>0</v>
      </c>
      <c r="F20" s="11">
        <f>C20/100*0/0.15</f>
        <v>0</v>
      </c>
      <c r="G20" s="11">
        <f>C20/100*1.1/0.15</f>
        <v>0</v>
      </c>
      <c r="H20" s="70">
        <f t="shared" si="5"/>
        <v>0</v>
      </c>
      <c r="I20" s="70"/>
      <c r="J20" s="70"/>
      <c r="K20" s="70"/>
      <c r="L20" s="70">
        <f>C20/100*0.001271/0.15</f>
        <v>0</v>
      </c>
      <c r="M20" s="19" t="s">
        <v>750</v>
      </c>
    </row>
    <row r="21" spans="1:13">
      <c r="A21" s="72"/>
      <c r="B21" s="103" t="s">
        <v>366</v>
      </c>
      <c r="C21" s="4"/>
      <c r="D21" s="5">
        <f>C21/100*384</f>
        <v>0</v>
      </c>
      <c r="E21" s="11">
        <f>C21/100*0</f>
        <v>0</v>
      </c>
      <c r="F21" s="11">
        <f>C21/100*0</f>
        <v>0</v>
      </c>
      <c r="G21" s="11">
        <f>C21/100*99.2</f>
        <v>0</v>
      </c>
      <c r="H21" s="70">
        <f t="shared" si="5"/>
        <v>0</v>
      </c>
      <c r="I21" s="70"/>
      <c r="J21" s="70"/>
      <c r="K21" s="70">
        <f>C21/100*0</f>
        <v>0</v>
      </c>
      <c r="L21" s="70">
        <f>C21/100*0.0025421</f>
        <v>0</v>
      </c>
      <c r="M21" s="19" t="s">
        <v>750</v>
      </c>
    </row>
    <row r="22" spans="1:13">
      <c r="A22" s="72"/>
      <c r="B22" s="81" t="s">
        <v>605</v>
      </c>
      <c r="C22" s="4"/>
      <c r="D22" s="5">
        <f>C22/100*126/0.14</f>
        <v>0</v>
      </c>
      <c r="E22" s="11">
        <f>C22/100*0/0.14</f>
        <v>0</v>
      </c>
      <c r="F22" s="11">
        <f>C22/100*14/0.14</f>
        <v>0</v>
      </c>
      <c r="G22" s="11">
        <f>C22/100*0/0.14</f>
        <v>0</v>
      </c>
      <c r="H22" s="70">
        <f t="shared" si="5"/>
        <v>0</v>
      </c>
      <c r="I22" s="70"/>
      <c r="J22" s="70"/>
      <c r="K22" s="70"/>
      <c r="L22" s="70"/>
      <c r="M22" s="3">
        <v>5</v>
      </c>
    </row>
    <row r="23" spans="1:13">
      <c r="A23" s="72"/>
      <c r="B23" s="104" t="s">
        <v>883</v>
      </c>
      <c r="C23" s="4"/>
      <c r="D23" s="5">
        <f>C23/100*14/0.15</f>
        <v>0</v>
      </c>
      <c r="E23" s="11">
        <f>C23/100*1.1/0.15</f>
        <v>0</v>
      </c>
      <c r="F23" s="11">
        <f>C23/100*0/0.15</f>
        <v>0</v>
      </c>
      <c r="G23" s="11">
        <f>C23/100*2.1/0.15</f>
        <v>0</v>
      </c>
      <c r="H23" s="70">
        <f t="shared" ref="H23:H24" si="6">C23/100*0</f>
        <v>0</v>
      </c>
      <c r="I23" s="70"/>
      <c r="J23" s="70"/>
      <c r="K23" s="70"/>
      <c r="L23" s="11">
        <f>C23/100*1.9828543/0.15</f>
        <v>0</v>
      </c>
      <c r="M23" s="19" t="s">
        <v>750</v>
      </c>
    </row>
    <row r="24" spans="1:13">
      <c r="A24" s="72"/>
      <c r="B24" s="104" t="s">
        <v>999</v>
      </c>
      <c r="C24" s="4"/>
      <c r="D24" s="5">
        <f>C24/100*140</f>
        <v>0</v>
      </c>
      <c r="E24" s="11">
        <f>C24/100*4.6</f>
        <v>0</v>
      </c>
      <c r="F24" s="11">
        <f>C24/100*0</f>
        <v>0</v>
      </c>
      <c r="G24" s="11">
        <f>C24/100*27.6</f>
        <v>0</v>
      </c>
      <c r="H24" s="70">
        <f t="shared" si="6"/>
        <v>0</v>
      </c>
      <c r="I24" s="70"/>
      <c r="J24" s="70"/>
      <c r="K24" s="70"/>
      <c r="L24" s="11">
        <f>C24/100*11.185332</f>
        <v>0</v>
      </c>
      <c r="M24" s="19" t="s">
        <v>750</v>
      </c>
    </row>
    <row r="25" spans="1:13">
      <c r="A25" s="72"/>
      <c r="B25" s="81" t="s">
        <v>448</v>
      </c>
      <c r="C25" s="4"/>
      <c r="D25" s="5">
        <f>C25/100*151</f>
        <v>0</v>
      </c>
      <c r="E25" s="11">
        <f>C25/100*12.3</f>
        <v>0</v>
      </c>
      <c r="F25" s="11">
        <f>C25/100*10.3</f>
        <v>0</v>
      </c>
      <c r="G25" s="11">
        <f>C25/100*0.3</f>
        <v>0</v>
      </c>
      <c r="H25" s="70">
        <f>C25/100*420</f>
        <v>0</v>
      </c>
      <c r="I25" s="70"/>
      <c r="J25" s="70"/>
      <c r="K25" s="70"/>
      <c r="L25" s="70">
        <f>C25/100*0.4</f>
        <v>0</v>
      </c>
      <c r="M25" s="3">
        <v>3</v>
      </c>
    </row>
    <row r="26" spans="1:13">
      <c r="A26" s="72"/>
      <c r="B26" s="103"/>
      <c r="C26" s="4"/>
      <c r="D26" s="5"/>
      <c r="E26" s="11"/>
      <c r="F26" s="11"/>
      <c r="G26" s="11"/>
      <c r="H26" s="70"/>
      <c r="I26" s="70"/>
      <c r="J26" s="70"/>
      <c r="K26" s="70"/>
      <c r="L26" s="70"/>
      <c r="M26" s="19"/>
    </row>
    <row r="27" spans="1:13">
      <c r="A27" s="72"/>
      <c r="B27" s="104" t="s">
        <v>208</v>
      </c>
      <c r="C27" s="4"/>
      <c r="D27" s="5">
        <f>C27/100*355</f>
        <v>0</v>
      </c>
      <c r="E27" s="11">
        <f>C27/100*17.9</f>
        <v>0</v>
      </c>
      <c r="F27" s="11">
        <f>C27/100*27.7</f>
        <v>0</v>
      </c>
      <c r="G27" s="11">
        <f>C27/100*5.3</f>
        <v>0</v>
      </c>
      <c r="H27" s="70">
        <f>C27/100*75</f>
        <v>0</v>
      </c>
      <c r="I27" s="70">
        <f>C27/100*0.1</f>
        <v>0</v>
      </c>
      <c r="J27" s="70">
        <f>C27/100*0.3</f>
        <v>0</v>
      </c>
      <c r="K27" s="70">
        <f>C27/100*0.4</f>
        <v>0</v>
      </c>
      <c r="L27" s="70">
        <f>C27/100*1.7</f>
        <v>0</v>
      </c>
      <c r="M27" s="3">
        <v>3</v>
      </c>
    </row>
    <row r="28" spans="1:13">
      <c r="A28" s="72"/>
      <c r="B28" s="103" t="s">
        <v>210</v>
      </c>
      <c r="C28" s="10"/>
      <c r="D28" s="11">
        <f>C28/100*287</f>
        <v>0</v>
      </c>
      <c r="E28" s="11">
        <f>C28/100*9.9</f>
        <v>0</v>
      </c>
      <c r="F28" s="11">
        <f>C28/100*26.1</f>
        <v>0</v>
      </c>
      <c r="G28" s="11">
        <f>C28/100*0</f>
        <v>0</v>
      </c>
      <c r="H28" s="70">
        <f>C28/100*210</f>
        <v>0</v>
      </c>
      <c r="I28" s="70"/>
      <c r="J28" s="70"/>
      <c r="K28" s="70"/>
      <c r="L28" s="70">
        <f>C28/100*0.2</f>
        <v>0</v>
      </c>
      <c r="M28" s="3">
        <v>3</v>
      </c>
    </row>
    <row r="29" spans="1:13">
      <c r="A29" s="72"/>
      <c r="B29" s="103" t="s">
        <v>261</v>
      </c>
      <c r="C29" s="4"/>
      <c r="D29" s="5">
        <f>C29/100*168</f>
        <v>0</v>
      </c>
      <c r="E29" s="11">
        <f>C29/100*2.5</f>
        <v>0</v>
      </c>
      <c r="F29" s="11">
        <f>C29/100*0.3</f>
        <v>0</v>
      </c>
      <c r="G29" s="11">
        <f>C29/100*37.1</f>
        <v>0</v>
      </c>
      <c r="H29" s="70">
        <f t="shared" ref="H29:H32" si="7">C29/100*0</f>
        <v>0</v>
      </c>
      <c r="I29" s="70">
        <f>C29/100*0</f>
        <v>0</v>
      </c>
      <c r="J29" s="70">
        <f>C29/100*0.3</f>
        <v>0</v>
      </c>
      <c r="K29" s="70">
        <f>C29/100*0.3</f>
        <v>0</v>
      </c>
      <c r="L29" s="70">
        <f>C29/100*0</f>
        <v>0</v>
      </c>
      <c r="M29" s="3">
        <v>1</v>
      </c>
    </row>
    <row r="30" spans="1:13">
      <c r="A30" s="72"/>
      <c r="B30" s="104" t="s">
        <v>668</v>
      </c>
      <c r="C30" s="4"/>
      <c r="D30" s="5">
        <f>C30/100*20/1.15</f>
        <v>0</v>
      </c>
      <c r="E30" s="11">
        <f>C30/100*1.64/1.15</f>
        <v>0</v>
      </c>
      <c r="F30" s="11">
        <f>C30/100*0.48/1.15</f>
        <v>0</v>
      </c>
      <c r="G30" s="11">
        <f>C30/100*3.19/1.15</f>
        <v>0</v>
      </c>
      <c r="H30" s="70">
        <f t="shared" si="7"/>
        <v>0</v>
      </c>
      <c r="I30" s="70"/>
      <c r="J30" s="70"/>
      <c r="K30" s="70">
        <f>C30/100*1.09/1.15</f>
        <v>0</v>
      </c>
      <c r="L30" s="11">
        <f>C30/100*1.48/1.15</f>
        <v>0</v>
      </c>
      <c r="M30" s="19" t="s">
        <v>751</v>
      </c>
    </row>
    <row r="31" spans="1:13">
      <c r="A31" s="72"/>
      <c r="B31" s="104" t="s">
        <v>702</v>
      </c>
      <c r="C31" s="4"/>
      <c r="D31" s="5">
        <f>C31/100*32/0.17</f>
        <v>0</v>
      </c>
      <c r="E31" s="11">
        <f>C31/100*0.69/0.17</f>
        <v>0</v>
      </c>
      <c r="F31" s="11">
        <f>C31/100*1.79/0.17</f>
        <v>0</v>
      </c>
      <c r="G31" s="11">
        <f>C31/100*2.95/0.17</f>
        <v>0</v>
      </c>
      <c r="H31" s="70">
        <f t="shared" si="7"/>
        <v>0</v>
      </c>
      <c r="I31" s="70"/>
      <c r="J31" s="70"/>
      <c r="K31" s="70">
        <f>C31/100*0.15/0.17</f>
        <v>0</v>
      </c>
      <c r="L31" s="11">
        <f>C31/100*1.16/0.17</f>
        <v>0</v>
      </c>
      <c r="M31" s="19" t="s">
        <v>750</v>
      </c>
    </row>
    <row r="32" spans="1:13">
      <c r="A32" s="72"/>
      <c r="B32" s="103" t="s">
        <v>486</v>
      </c>
      <c r="C32" s="4"/>
      <c r="D32" s="5">
        <f>C32/100*19</f>
        <v>0</v>
      </c>
      <c r="E32" s="11">
        <f>C32/100*0.7</f>
        <v>0</v>
      </c>
      <c r="F32" s="11">
        <f>C32/100*0.1</f>
        <v>0</v>
      </c>
      <c r="G32" s="11">
        <f>C32/100*4.7</f>
        <v>0</v>
      </c>
      <c r="H32" s="70">
        <f t="shared" si="7"/>
        <v>0</v>
      </c>
      <c r="I32" s="70">
        <f>C32/100*0.3</f>
        <v>0</v>
      </c>
      <c r="J32" s="70">
        <f>C32/100*0.7</f>
        <v>0</v>
      </c>
      <c r="K32" s="70">
        <f>C32/100*1</f>
        <v>0</v>
      </c>
      <c r="L32" s="70">
        <f>C32/100*0</f>
        <v>0</v>
      </c>
      <c r="M32" s="3">
        <v>6</v>
      </c>
    </row>
    <row r="33" spans="1:13">
      <c r="A33" s="72"/>
      <c r="B33" s="104"/>
      <c r="C33" s="4"/>
      <c r="D33" s="5"/>
      <c r="E33" s="11"/>
      <c r="F33" s="11"/>
      <c r="G33" s="11"/>
      <c r="H33" s="70"/>
      <c r="I33" s="70"/>
      <c r="J33" s="70"/>
      <c r="K33" s="70"/>
      <c r="L33" s="11"/>
      <c r="M33" s="19"/>
    </row>
    <row r="34" spans="1:13">
      <c r="A34" s="72"/>
      <c r="B34" s="104" t="s">
        <v>1245</v>
      </c>
      <c r="C34" s="4"/>
      <c r="D34" s="5">
        <f>C34/100*88/0.6</f>
        <v>0</v>
      </c>
      <c r="E34" s="11">
        <f>C34/100*12.4/0.6</f>
        <v>0</v>
      </c>
      <c r="F34" s="11">
        <f>C34/100*3.3/0.6</f>
        <v>0</v>
      </c>
      <c r="G34" s="11">
        <f>C34/100*2.1/0.6</f>
        <v>0</v>
      </c>
      <c r="H34" s="70">
        <f>C34/100*24/0.6</f>
        <v>0</v>
      </c>
      <c r="I34" s="70"/>
      <c r="J34" s="70"/>
      <c r="K34" s="70"/>
      <c r="L34" s="11">
        <f>C34/100*1.6/0.6</f>
        <v>0</v>
      </c>
      <c r="M34" s="3">
        <v>3</v>
      </c>
    </row>
    <row r="35" spans="1:13">
      <c r="A35" s="72"/>
      <c r="B35" s="81"/>
      <c r="C35" s="4"/>
      <c r="D35" s="5"/>
      <c r="E35" s="11"/>
      <c r="F35" s="11"/>
      <c r="G35" s="11"/>
      <c r="H35" s="70"/>
      <c r="I35" s="70"/>
      <c r="J35" s="70"/>
      <c r="K35" s="70"/>
      <c r="L35" s="70"/>
      <c r="M35" s="3"/>
    </row>
    <row r="36" spans="1:13">
      <c r="A36" s="72"/>
      <c r="B36" s="81" t="s">
        <v>1187</v>
      </c>
      <c r="C36" s="4"/>
      <c r="D36" s="5">
        <f>C36/100*114</f>
        <v>0</v>
      </c>
      <c r="E36" s="11">
        <f>C36/100*4.2</f>
        <v>0</v>
      </c>
      <c r="F36" s="11">
        <f>C36/100*2.4</f>
        <v>0</v>
      </c>
      <c r="G36" s="11">
        <f>C36/100*19</f>
        <v>0</v>
      </c>
      <c r="H36" s="70">
        <f>C36/100*0</f>
        <v>0</v>
      </c>
      <c r="I36" s="70"/>
      <c r="J36" s="70"/>
      <c r="K36" s="70"/>
      <c r="L36" s="11">
        <f>C36/100*8.8211598</f>
        <v>0</v>
      </c>
      <c r="M36" s="19" t="s">
        <v>750</v>
      </c>
    </row>
    <row r="37" spans="1:13">
      <c r="A37" s="72"/>
      <c r="B37" s="81" t="s">
        <v>205</v>
      </c>
      <c r="C37" s="4"/>
      <c r="D37" s="5">
        <f>C37/100*23</f>
        <v>0</v>
      </c>
      <c r="E37" s="11">
        <f>C37/100*1.3</f>
        <v>0</v>
      </c>
      <c r="F37" s="11">
        <f>C37/100*0.2</f>
        <v>0</v>
      </c>
      <c r="G37" s="11">
        <f>C37/100*5.2</f>
        <v>0</v>
      </c>
      <c r="H37" s="70">
        <f t="shared" ref="H37" si="8">C37/100*0</f>
        <v>0</v>
      </c>
      <c r="I37" s="70">
        <f>C37/100*0.4</f>
        <v>0</v>
      </c>
      <c r="J37" s="70">
        <f>C37/100*1.4</f>
        <v>0</v>
      </c>
      <c r="K37" s="70">
        <f>C37/100*1.8</f>
        <v>0</v>
      </c>
      <c r="L37" s="70">
        <f>C37/100*0</f>
        <v>0</v>
      </c>
      <c r="M37" s="3">
        <v>6</v>
      </c>
    </row>
    <row r="38" spans="1:13">
      <c r="A38" s="72"/>
      <c r="B38" s="81" t="s">
        <v>449</v>
      </c>
      <c r="C38" s="4"/>
      <c r="D38" s="5">
        <f>C38/100*151</f>
        <v>0</v>
      </c>
      <c r="E38" s="11">
        <f>C38/100*12.9</f>
        <v>0</v>
      </c>
      <c r="F38" s="11">
        <f>C38/100*10</f>
        <v>0</v>
      </c>
      <c r="G38" s="11">
        <f>C38/100*0.3</f>
        <v>0</v>
      </c>
      <c r="H38" s="70">
        <f>C38/100*420</f>
        <v>0</v>
      </c>
      <c r="I38" s="70"/>
      <c r="J38" s="70"/>
      <c r="K38" s="70"/>
      <c r="L38" s="70">
        <f>C38/100*0.3</f>
        <v>0</v>
      </c>
      <c r="M38" s="3">
        <v>3</v>
      </c>
    </row>
    <row r="39" spans="1:13">
      <c r="A39" s="72"/>
      <c r="B39" s="104" t="s">
        <v>341</v>
      </c>
      <c r="C39" s="4"/>
      <c r="D39" s="5">
        <f>C39/100*16</f>
        <v>0</v>
      </c>
      <c r="E39" s="11">
        <f>C39/100*1.2</f>
        <v>0</v>
      </c>
      <c r="F39" s="11">
        <f>C39/100*0.2</f>
        <v>0</v>
      </c>
      <c r="G39" s="11">
        <f>C39/100*3.2</f>
        <v>0</v>
      </c>
      <c r="H39" s="70">
        <f t="shared" ref="H39:H40" si="9">C39/100*0</f>
        <v>0</v>
      </c>
      <c r="I39" s="70">
        <f>C39/100*0.6</f>
        <v>0</v>
      </c>
      <c r="J39" s="70">
        <f>C39/100*1.4</f>
        <v>0</v>
      </c>
      <c r="K39" s="70">
        <f>C39/100*2</f>
        <v>0</v>
      </c>
      <c r="L39" s="70">
        <f>C39/100*0</f>
        <v>0</v>
      </c>
      <c r="M39" s="3">
        <v>6</v>
      </c>
    </row>
    <row r="40" spans="1:13">
      <c r="A40" s="72"/>
      <c r="B40" s="104" t="s">
        <v>380</v>
      </c>
      <c r="C40" s="4"/>
      <c r="D40" s="5">
        <f>C40/100*37</f>
        <v>0</v>
      </c>
      <c r="E40" s="11">
        <f>C40/100*0.6</f>
        <v>0</v>
      </c>
      <c r="F40" s="11">
        <f>C40/100*0.1</f>
        <v>0</v>
      </c>
      <c r="G40" s="11">
        <f>C40/100*9.5</f>
        <v>0</v>
      </c>
      <c r="H40" s="70">
        <f t="shared" si="9"/>
        <v>0</v>
      </c>
      <c r="I40" s="70">
        <f>C40/100*0.1</f>
        <v>0</v>
      </c>
      <c r="J40" s="70">
        <f>C40/100*0.2</f>
        <v>0</v>
      </c>
      <c r="K40" s="70">
        <f>C40/100*0.3</f>
        <v>0</v>
      </c>
      <c r="L40" s="70">
        <f>C40/100*0</f>
        <v>0</v>
      </c>
      <c r="M40" s="3">
        <v>2</v>
      </c>
    </row>
    <row r="41" spans="1:13">
      <c r="A41" s="72"/>
      <c r="B41" s="92"/>
      <c r="C41" s="74"/>
      <c r="D41" s="75"/>
      <c r="E41" s="75"/>
      <c r="F41" s="75"/>
      <c r="G41" s="75"/>
      <c r="H41" s="73"/>
      <c r="I41" s="128"/>
      <c r="J41" s="128"/>
      <c r="K41" s="128"/>
      <c r="L41" s="73"/>
      <c r="M41" s="15"/>
    </row>
    <row r="42" spans="1:13">
      <c r="A42" s="72"/>
      <c r="B42" s="92"/>
      <c r="C42" s="74"/>
      <c r="D42" s="75"/>
      <c r="E42" s="75"/>
      <c r="F42" s="75"/>
      <c r="G42" s="75"/>
      <c r="H42" s="73"/>
      <c r="I42" s="128"/>
      <c r="J42" s="128"/>
      <c r="K42" s="128"/>
      <c r="L42" s="73"/>
      <c r="M42" s="15"/>
    </row>
    <row r="43" spans="1:13">
      <c r="A43" s="72"/>
      <c r="B43" s="92"/>
      <c r="C43" s="74"/>
      <c r="D43" s="75"/>
      <c r="E43" s="75"/>
      <c r="F43" s="75"/>
      <c r="G43" s="75"/>
      <c r="H43" s="73"/>
      <c r="I43" s="128"/>
      <c r="J43" s="128"/>
      <c r="K43" s="128"/>
      <c r="L43" s="73"/>
      <c r="M43" s="15"/>
    </row>
    <row r="44" spans="1:13" ht="14.25" thickBot="1">
      <c r="A44" s="72"/>
      <c r="B44" s="93"/>
      <c r="C44" s="134"/>
      <c r="D44" s="135"/>
      <c r="E44" s="135"/>
      <c r="F44" s="135"/>
      <c r="G44" s="135"/>
      <c r="H44" s="137"/>
      <c r="I44" s="136"/>
      <c r="J44" s="136"/>
      <c r="K44" s="136"/>
      <c r="L44" s="137"/>
      <c r="M44" s="91"/>
    </row>
    <row r="45" spans="1:13">
      <c r="A45" s="72"/>
      <c r="B45" s="140" t="s">
        <v>759</v>
      </c>
      <c r="C45" s="141">
        <f>C10</f>
        <v>453</v>
      </c>
      <c r="D45" s="138">
        <f>SUM(D12:D44)</f>
        <v>502.4283333333334</v>
      </c>
      <c r="E45" s="138">
        <f t="shared" ref="E45:L45" si="10">SUM(E12:E44)</f>
        <v>10.803000000000001</v>
      </c>
      <c r="F45" s="138">
        <f t="shared" si="10"/>
        <v>38.916333333333341</v>
      </c>
      <c r="G45" s="138">
        <f t="shared" si="10"/>
        <v>23.573499999999999</v>
      </c>
      <c r="H45" s="176">
        <f t="shared" si="10"/>
        <v>42.3</v>
      </c>
      <c r="I45" s="138">
        <f t="shared" si="10"/>
        <v>1.06</v>
      </c>
      <c r="J45" s="138">
        <f t="shared" si="10"/>
        <v>3.8740000000000001</v>
      </c>
      <c r="K45" s="138">
        <f t="shared" si="10"/>
        <v>4.9340000000000011</v>
      </c>
      <c r="L45" s="138">
        <f t="shared" si="10"/>
        <v>2.1233404653333339</v>
      </c>
      <c r="M45" s="139"/>
    </row>
    <row r="46" spans="1:13" ht="14.25" thickBot="1">
      <c r="A46" s="72"/>
      <c r="B46" s="142" t="str">
        <f>B10</f>
        <v>野菜・カマボコ・サラダ9/8</v>
      </c>
      <c r="C46" s="143">
        <v>100</v>
      </c>
      <c r="D46" s="144">
        <f>$C46/$C45*D45</f>
        <v>110.911331861663</v>
      </c>
      <c r="E46" s="144">
        <f t="shared" ref="E46:L46" si="11">$C46/$C45*E45</f>
        <v>2.3847682119205298</v>
      </c>
      <c r="F46" s="144">
        <f t="shared" si="11"/>
        <v>8.5908020603384863</v>
      </c>
      <c r="G46" s="144">
        <f t="shared" si="11"/>
        <v>5.2038631346578361</v>
      </c>
      <c r="H46" s="247">
        <f t="shared" si="11"/>
        <v>9.3377483443708602</v>
      </c>
      <c r="I46" s="144">
        <f t="shared" si="11"/>
        <v>0.23399558498896247</v>
      </c>
      <c r="J46" s="144">
        <f t="shared" si="11"/>
        <v>0.85518763796909492</v>
      </c>
      <c r="K46" s="144">
        <f t="shared" si="11"/>
        <v>1.0891832229580576</v>
      </c>
      <c r="L46" s="144">
        <f t="shared" si="11"/>
        <v>0.46872857954378228</v>
      </c>
      <c r="M46" s="144"/>
    </row>
    <row r="47" spans="1:13">
      <c r="A47" s="72"/>
      <c r="B47" s="112"/>
      <c r="C47" s="78"/>
      <c r="D47" s="76"/>
      <c r="E47" s="76"/>
      <c r="F47" s="76"/>
      <c r="G47" s="76"/>
      <c r="H47" s="76"/>
      <c r="I47" s="129"/>
      <c r="J47" s="129"/>
      <c r="K47" s="129"/>
      <c r="L47" s="119"/>
      <c r="M47" s="71"/>
    </row>
    <row r="48" spans="1:13">
      <c r="A48" s="72"/>
      <c r="B48" s="77"/>
      <c r="C48" s="78"/>
      <c r="D48" s="76"/>
      <c r="E48" s="76"/>
      <c r="F48" s="76"/>
      <c r="G48" s="76"/>
      <c r="H48" s="76"/>
      <c r="I48" s="129"/>
      <c r="J48" s="129"/>
      <c r="K48" s="129"/>
      <c r="L48" s="119"/>
      <c r="M48" s="71"/>
    </row>
    <row r="49" spans="5:13">
      <c r="E49" s="14"/>
      <c r="F49" s="14"/>
      <c r="G49" s="14"/>
      <c r="H49" s="14"/>
      <c r="I49" s="14"/>
      <c r="J49" s="14"/>
      <c r="K49" s="14"/>
      <c r="L49" s="14"/>
      <c r="M49" s="88"/>
    </row>
    <row r="50" spans="5:13">
      <c r="E50" s="14"/>
      <c r="F50" s="14"/>
      <c r="G50" s="14"/>
      <c r="H50" s="14"/>
      <c r="I50" s="14"/>
      <c r="J50" s="14"/>
      <c r="K50" s="14"/>
      <c r="L50" s="14"/>
      <c r="M50" s="88"/>
    </row>
    <row r="51" spans="5:13">
      <c r="E51" s="14"/>
      <c r="F51" s="14"/>
      <c r="G51" s="14"/>
      <c r="H51" s="14"/>
      <c r="I51" s="14"/>
      <c r="J51" s="14"/>
      <c r="K51" s="14"/>
      <c r="L51" s="14"/>
      <c r="M51" s="88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1"/>
  <sheetViews>
    <sheetView zoomScale="160" zoomScaleNormal="160" workbookViewId="0">
      <selection sqref="A1:XFD1048576"/>
    </sheetView>
  </sheetViews>
  <sheetFormatPr defaultRowHeight="13.5"/>
  <cols>
    <col min="1" max="1" width="2" customWidth="1"/>
    <col min="2" max="2" width="19.25" bestFit="1" customWidth="1"/>
    <col min="3" max="3" width="12.25" bestFit="1" customWidth="1"/>
    <col min="4" max="4" width="7.5" bestFit="1" customWidth="1"/>
    <col min="5" max="5" width="7.125" style="126" bestFit="1" customWidth="1"/>
    <col min="6" max="6" width="6.5" style="126" bestFit="1" customWidth="1"/>
    <col min="7" max="7" width="7.125" style="126" bestFit="1" customWidth="1"/>
    <col min="8" max="8" width="6.5" style="126" bestFit="1" customWidth="1"/>
    <col min="9" max="10" width="5.5" style="126" bestFit="1" customWidth="1"/>
    <col min="11" max="11" width="6.5" style="126" bestFit="1" customWidth="1"/>
    <col min="12" max="12" width="7.125" style="126" bestFit="1" customWidth="1"/>
    <col min="13" max="13" width="7.125" bestFit="1" customWidth="1"/>
  </cols>
  <sheetData>
    <row r="1" spans="1:13" ht="41.25" thickBot="1">
      <c r="A1" s="72"/>
      <c r="B1" s="104" t="s">
        <v>0</v>
      </c>
      <c r="C1" s="3" t="s">
        <v>1</v>
      </c>
      <c r="D1" s="3" t="s">
        <v>756</v>
      </c>
      <c r="E1" s="96" t="s">
        <v>757</v>
      </c>
      <c r="F1" s="3" t="s">
        <v>4</v>
      </c>
      <c r="G1" s="96" t="s">
        <v>760</v>
      </c>
      <c r="H1" s="120" t="s">
        <v>1148</v>
      </c>
      <c r="I1" s="131" t="s">
        <v>6</v>
      </c>
      <c r="J1" s="131" t="s">
        <v>7</v>
      </c>
      <c r="K1" s="131" t="s">
        <v>8</v>
      </c>
      <c r="L1" s="122" t="s">
        <v>9</v>
      </c>
      <c r="M1" s="89" t="s">
        <v>746</v>
      </c>
    </row>
    <row r="2" spans="1:13">
      <c r="A2" s="72"/>
      <c r="B2" s="140" t="s">
        <v>759</v>
      </c>
      <c r="C2" s="141">
        <f>C10</f>
        <v>406</v>
      </c>
      <c r="D2" s="138">
        <f>SUM(D12:D44)</f>
        <v>235.24</v>
      </c>
      <c r="E2" s="138">
        <f t="shared" ref="E2:L2" si="0">SUM(E12:E44)</f>
        <v>12.234</v>
      </c>
      <c r="F2" s="138">
        <f t="shared" si="0"/>
        <v>10.436</v>
      </c>
      <c r="G2" s="138">
        <f t="shared" si="0"/>
        <v>28.932000000000002</v>
      </c>
      <c r="H2" s="138">
        <f t="shared" si="0"/>
        <v>0</v>
      </c>
      <c r="I2" s="138">
        <f t="shared" si="0"/>
        <v>0</v>
      </c>
      <c r="J2" s="138">
        <f t="shared" si="0"/>
        <v>0</v>
      </c>
      <c r="K2" s="138">
        <f t="shared" si="0"/>
        <v>18.312000000000001</v>
      </c>
      <c r="L2" s="138">
        <f t="shared" si="0"/>
        <v>3.2437462799999999</v>
      </c>
      <c r="M2" s="138"/>
    </row>
    <row r="3" spans="1:13" ht="14.25" thickBot="1">
      <c r="A3" s="72"/>
      <c r="B3" s="142" t="str">
        <f>B10</f>
        <v>ささげ油炒め9/14</v>
      </c>
      <c r="C3" s="143">
        <v>100</v>
      </c>
      <c r="D3" s="144">
        <f>$C$3/$C$2*D2</f>
        <v>57.940886699507395</v>
      </c>
      <c r="E3" s="144">
        <f t="shared" ref="E3:L3" si="1">$C$3/$C$2*E2</f>
        <v>3.0133004926108375</v>
      </c>
      <c r="F3" s="144">
        <f t="shared" si="1"/>
        <v>2.5704433497536945</v>
      </c>
      <c r="G3" s="144">
        <f t="shared" si="1"/>
        <v>7.1261083743842368</v>
      </c>
      <c r="H3" s="144">
        <f t="shared" si="1"/>
        <v>0</v>
      </c>
      <c r="I3" s="144">
        <f t="shared" si="1"/>
        <v>0</v>
      </c>
      <c r="J3" s="144">
        <f t="shared" si="1"/>
        <v>0</v>
      </c>
      <c r="K3" s="144">
        <f t="shared" si="1"/>
        <v>4.5103448275862075</v>
      </c>
      <c r="L3" s="144">
        <f t="shared" si="1"/>
        <v>0.79895228571428567</v>
      </c>
      <c r="M3" s="144"/>
    </row>
    <row r="6" spans="1:13">
      <c r="C6" t="s">
        <v>1152</v>
      </c>
      <c r="D6" s="13"/>
      <c r="E6" s="13"/>
      <c r="F6" s="13"/>
    </row>
    <row r="7" spans="1:13">
      <c r="C7" t="s">
        <v>1153</v>
      </c>
      <c r="D7" s="13">
        <v>0</v>
      </c>
      <c r="E7" s="13">
        <v>0</v>
      </c>
      <c r="F7" s="43">
        <f>D7-E7</f>
        <v>0</v>
      </c>
    </row>
    <row r="8" spans="1:13">
      <c r="C8" t="s">
        <v>1154</v>
      </c>
      <c r="D8" s="13">
        <v>0</v>
      </c>
      <c r="E8" s="13">
        <v>0</v>
      </c>
      <c r="F8" s="13">
        <f>D8-E8</f>
        <v>0</v>
      </c>
    </row>
    <row r="9" spans="1:13">
      <c r="B9" s="14" t="s">
        <v>1159</v>
      </c>
    </row>
    <row r="10" spans="1:13">
      <c r="A10" s="72"/>
      <c r="B10" s="130" t="s">
        <v>1271</v>
      </c>
      <c r="C10" s="125">
        <v>406</v>
      </c>
      <c r="D10" s="72"/>
      <c r="E10" s="127"/>
      <c r="F10" s="127"/>
      <c r="G10" s="127"/>
      <c r="H10" s="127"/>
      <c r="I10" s="127"/>
      <c r="J10" s="127"/>
      <c r="K10" s="127"/>
      <c r="L10" s="127"/>
      <c r="M10" s="72"/>
    </row>
    <row r="11" spans="1:13" ht="52.5" customHeight="1">
      <c r="A11" s="72"/>
      <c r="B11" s="104" t="s">
        <v>0</v>
      </c>
      <c r="C11" s="3" t="s">
        <v>1</v>
      </c>
      <c r="D11" s="3" t="s">
        <v>756</v>
      </c>
      <c r="E11" s="96" t="s">
        <v>757</v>
      </c>
      <c r="F11" s="3" t="s">
        <v>4</v>
      </c>
      <c r="G11" s="96" t="s">
        <v>760</v>
      </c>
      <c r="H11" s="120" t="s">
        <v>1148</v>
      </c>
      <c r="I11" s="131" t="s">
        <v>6</v>
      </c>
      <c r="J11" s="131" t="s">
        <v>7</v>
      </c>
      <c r="K11" s="131" t="s">
        <v>8</v>
      </c>
      <c r="L11" s="122" t="s">
        <v>9</v>
      </c>
      <c r="M11" s="89" t="s">
        <v>746</v>
      </c>
    </row>
    <row r="12" spans="1:13">
      <c r="A12" s="72"/>
      <c r="B12" s="104" t="s">
        <v>999</v>
      </c>
      <c r="C12" s="4">
        <v>29</v>
      </c>
      <c r="D12" s="5">
        <f>C12/100*140</f>
        <v>40.599999999999994</v>
      </c>
      <c r="E12" s="11">
        <f>C12/100*4.6</f>
        <v>1.3339999999999999</v>
      </c>
      <c r="F12" s="11">
        <f>C12/100*0</f>
        <v>0</v>
      </c>
      <c r="G12" s="11">
        <f>C12/100*27.6</f>
        <v>8.0039999999999996</v>
      </c>
      <c r="H12" s="70">
        <f t="shared" ref="H12" si="2">C12/100*0</f>
        <v>0</v>
      </c>
      <c r="I12" s="70"/>
      <c r="J12" s="70"/>
      <c r="K12" s="70"/>
      <c r="L12" s="11">
        <f>C12/100*11.185332</f>
        <v>3.2437462799999999</v>
      </c>
      <c r="M12" s="19" t="s">
        <v>750</v>
      </c>
    </row>
    <row r="13" spans="1:13">
      <c r="A13" s="72"/>
      <c r="B13" s="81" t="s">
        <v>605</v>
      </c>
      <c r="C13" s="4">
        <v>10</v>
      </c>
      <c r="D13" s="5">
        <f>C13/100*126/0.14</f>
        <v>90</v>
      </c>
      <c r="E13" s="11">
        <f>C13/100*0/0.14</f>
        <v>0</v>
      </c>
      <c r="F13" s="11">
        <f>C13/100*14/0.14</f>
        <v>10</v>
      </c>
      <c r="G13" s="11">
        <f>C13/100*0/0.14</f>
        <v>0</v>
      </c>
      <c r="H13" s="70">
        <f t="shared" ref="H13" si="3">C13/100*0</f>
        <v>0</v>
      </c>
      <c r="I13" s="70"/>
      <c r="J13" s="70"/>
      <c r="K13" s="70"/>
      <c r="L13" s="70"/>
      <c r="M13" s="3">
        <v>5</v>
      </c>
    </row>
    <row r="14" spans="1:13">
      <c r="A14" s="72"/>
      <c r="B14" s="104" t="s">
        <v>305</v>
      </c>
      <c r="C14" s="4">
        <v>436</v>
      </c>
      <c r="D14" s="5">
        <f>C14/100*24</f>
        <v>104.64000000000001</v>
      </c>
      <c r="E14" s="11">
        <f>C14/100*2.5</f>
        <v>10.9</v>
      </c>
      <c r="F14" s="11">
        <f>C14/100*0.1</f>
        <v>0.43600000000000005</v>
      </c>
      <c r="G14" s="11">
        <f>C14/100*4.8</f>
        <v>20.928000000000001</v>
      </c>
      <c r="H14" s="70">
        <f>C14/100*0</f>
        <v>0</v>
      </c>
      <c r="I14" s="70"/>
      <c r="J14" s="70"/>
      <c r="K14" s="70">
        <f>C14/100*4.2</f>
        <v>18.312000000000001</v>
      </c>
      <c r="L14" s="70"/>
      <c r="M14" s="3">
        <v>6</v>
      </c>
    </row>
    <row r="15" spans="1:13">
      <c r="A15" s="72"/>
      <c r="B15" s="104" t="s">
        <v>661</v>
      </c>
      <c r="C15" s="4"/>
      <c r="D15" s="5">
        <f>C15/100*195.3</f>
        <v>0</v>
      </c>
      <c r="E15" s="11">
        <f>C15/100*8.5</f>
        <v>0</v>
      </c>
      <c r="F15" s="11">
        <f>C15/100*4.5</f>
        <v>0</v>
      </c>
      <c r="G15" s="11">
        <f>C15/100*30.2</f>
        <v>0</v>
      </c>
      <c r="H15" s="70">
        <f t="shared" ref="H15:H16" si="4">C15/100*0</f>
        <v>0</v>
      </c>
      <c r="I15" s="70"/>
      <c r="J15" s="70"/>
      <c r="K15" s="70"/>
      <c r="L15" s="11">
        <f>C15/100*11.947968</f>
        <v>0</v>
      </c>
      <c r="M15" s="19" t="s">
        <v>750</v>
      </c>
    </row>
    <row r="16" spans="1:13">
      <c r="A16" s="72"/>
      <c r="B16" s="103" t="s">
        <v>366</v>
      </c>
      <c r="C16" s="4"/>
      <c r="D16" s="5">
        <f>C16/100*384</f>
        <v>0</v>
      </c>
      <c r="E16" s="11">
        <f>C16/100*0</f>
        <v>0</v>
      </c>
      <c r="F16" s="11">
        <f>C16/100*0</f>
        <v>0</v>
      </c>
      <c r="G16" s="11">
        <f>C16/100*99.2</f>
        <v>0</v>
      </c>
      <c r="H16" s="70">
        <f t="shared" si="4"/>
        <v>0</v>
      </c>
      <c r="I16" s="70"/>
      <c r="J16" s="70"/>
      <c r="K16" s="70">
        <f>C16/100*0</f>
        <v>0</v>
      </c>
      <c r="L16" s="70">
        <f>C16/100*0.0025421</f>
        <v>0</v>
      </c>
      <c r="M16" s="19" t="s">
        <v>750</v>
      </c>
    </row>
    <row r="17" spans="1:13">
      <c r="A17" s="72"/>
      <c r="B17" s="104" t="s">
        <v>883</v>
      </c>
      <c r="C17" s="4"/>
      <c r="D17" s="5">
        <f>C17/100*14/0.15</f>
        <v>0</v>
      </c>
      <c r="E17" s="11">
        <f>C17/100*1.1/0.15</f>
        <v>0</v>
      </c>
      <c r="F17" s="11">
        <f>C17/100*0/0.15</f>
        <v>0</v>
      </c>
      <c r="G17" s="11">
        <f>C17/100*2.1/0.15</f>
        <v>0</v>
      </c>
      <c r="H17" s="70">
        <f t="shared" ref="H17:H24" si="5">C17/100*0</f>
        <v>0</v>
      </c>
      <c r="I17" s="70"/>
      <c r="J17" s="70"/>
      <c r="K17" s="70"/>
      <c r="L17" s="11">
        <f>C17/100*1.9828543/0.15</f>
        <v>0</v>
      </c>
      <c r="M17" s="19" t="s">
        <v>750</v>
      </c>
    </row>
    <row r="18" spans="1:13">
      <c r="A18" s="72"/>
      <c r="B18" s="104" t="s">
        <v>371</v>
      </c>
      <c r="C18" s="4"/>
      <c r="D18" s="5">
        <f>C18/100*0</f>
        <v>0</v>
      </c>
      <c r="E18" s="11">
        <f>C18/100*0</f>
        <v>0</v>
      </c>
      <c r="F18" s="11">
        <f>C18/100*0</f>
        <v>0</v>
      </c>
      <c r="G18" s="11">
        <f>C18/100*0</f>
        <v>0</v>
      </c>
      <c r="H18" s="70">
        <f t="shared" si="5"/>
        <v>0</v>
      </c>
      <c r="I18" s="70">
        <f>C18/100*0</f>
        <v>0</v>
      </c>
      <c r="J18" s="70">
        <f>C18/100*0</f>
        <v>0</v>
      </c>
      <c r="K18" s="70">
        <f>C18/100*0</f>
        <v>0</v>
      </c>
      <c r="L18" s="11">
        <f>C18/100*99.142719</f>
        <v>0</v>
      </c>
      <c r="M18" s="19" t="s">
        <v>750</v>
      </c>
    </row>
    <row r="19" spans="1:13">
      <c r="A19" s="72"/>
      <c r="B19" s="103" t="s">
        <v>366</v>
      </c>
      <c r="C19" s="4"/>
      <c r="D19" s="5">
        <f>C19/100*384</f>
        <v>0</v>
      </c>
      <c r="E19" s="11">
        <f>C19/100*0</f>
        <v>0</v>
      </c>
      <c r="F19" s="11">
        <f>C19/100*0</f>
        <v>0</v>
      </c>
      <c r="G19" s="11">
        <f>C19/100*99.2</f>
        <v>0</v>
      </c>
      <c r="H19" s="70">
        <f t="shared" si="5"/>
        <v>0</v>
      </c>
      <c r="I19" s="70"/>
      <c r="J19" s="70"/>
      <c r="K19" s="70">
        <f>C19/100*0</f>
        <v>0</v>
      </c>
      <c r="L19" s="70">
        <f>C19/100*0.0025421</f>
        <v>0</v>
      </c>
      <c r="M19" s="19" t="s">
        <v>750</v>
      </c>
    </row>
    <row r="20" spans="1:13">
      <c r="A20" s="72"/>
      <c r="B20" s="104" t="s">
        <v>999</v>
      </c>
      <c r="C20" s="4"/>
      <c r="D20" s="5">
        <f>C20/100*140</f>
        <v>0</v>
      </c>
      <c r="E20" s="11">
        <f>C20/100*4.6</f>
        <v>0</v>
      </c>
      <c r="F20" s="11">
        <f>C20/100*0</f>
        <v>0</v>
      </c>
      <c r="G20" s="11">
        <f>C20/100*27.6</f>
        <v>0</v>
      </c>
      <c r="H20" s="70">
        <f t="shared" si="5"/>
        <v>0</v>
      </c>
      <c r="I20" s="70"/>
      <c r="J20" s="70"/>
      <c r="K20" s="70"/>
      <c r="L20" s="11">
        <f>C20/100*11.185332</f>
        <v>0</v>
      </c>
      <c r="M20" s="19" t="s">
        <v>750</v>
      </c>
    </row>
    <row r="21" spans="1:13">
      <c r="A21" s="72"/>
      <c r="B21" s="104" t="s">
        <v>504</v>
      </c>
      <c r="C21" s="4"/>
      <c r="D21" s="5">
        <f>C21/100*22</f>
        <v>0</v>
      </c>
      <c r="E21" s="11">
        <f>C21/100*1.1</f>
        <v>0</v>
      </c>
      <c r="F21" s="11">
        <f>C21/100*0.1</f>
        <v>0</v>
      </c>
      <c r="G21" s="11">
        <f>C21/100*5.1</f>
        <v>0</v>
      </c>
      <c r="H21" s="70">
        <f t="shared" si="5"/>
        <v>0</v>
      </c>
      <c r="I21" s="70">
        <f>C21/100*0.3</f>
        <v>0</v>
      </c>
      <c r="J21" s="70">
        <f>C21/100*1.9</f>
        <v>0</v>
      </c>
      <c r="K21" s="70">
        <f>C21/100*2.2</f>
        <v>0</v>
      </c>
      <c r="L21" s="70">
        <f>C21/100*0</f>
        <v>0</v>
      </c>
      <c r="M21" s="3">
        <v>6</v>
      </c>
    </row>
    <row r="22" spans="1:13">
      <c r="A22" s="72"/>
      <c r="B22" s="104" t="s">
        <v>536</v>
      </c>
      <c r="C22" s="4"/>
      <c r="D22" s="5">
        <f>C22/100*13</f>
        <v>0</v>
      </c>
      <c r="E22" s="11">
        <f>C22/100*0.9</f>
        <v>0</v>
      </c>
      <c r="F22" s="11">
        <f>C22/100*0.1</f>
        <v>0</v>
      </c>
      <c r="G22" s="11">
        <f>C22/100*2.9</f>
        <v>0</v>
      </c>
      <c r="H22" s="70">
        <f t="shared" si="5"/>
        <v>0</v>
      </c>
      <c r="I22" s="70">
        <f>C22/100*0.4</f>
        <v>0</v>
      </c>
      <c r="J22" s="70">
        <f>C22/100*1</f>
        <v>0</v>
      </c>
      <c r="K22" s="70">
        <f>C22/100*1.4</f>
        <v>0</v>
      </c>
      <c r="L22" s="11">
        <f>C22/100*0</f>
        <v>0</v>
      </c>
      <c r="M22" s="3">
        <v>6</v>
      </c>
    </row>
    <row r="23" spans="1:13">
      <c r="A23" s="72"/>
      <c r="B23" s="104" t="s">
        <v>266</v>
      </c>
      <c r="C23" s="4"/>
      <c r="D23" s="5">
        <f>C23/100*15</f>
        <v>0</v>
      </c>
      <c r="E23" s="11">
        <f>C23/100*1.6</f>
        <v>0</v>
      </c>
      <c r="F23" s="11">
        <f>C23/100*0.1</f>
        <v>0</v>
      </c>
      <c r="G23" s="11">
        <f>C23/100*3</f>
        <v>0</v>
      </c>
      <c r="H23" s="70">
        <f t="shared" si="5"/>
        <v>0</v>
      </c>
      <c r="I23" s="70">
        <f>C23/100*0.6</f>
        <v>0</v>
      </c>
      <c r="J23" s="70">
        <f>C23/100*1.8</f>
        <v>0</v>
      </c>
      <c r="K23" s="70">
        <f>C23/100*2.4</f>
        <v>0</v>
      </c>
      <c r="L23" s="70">
        <f>C23/100*0</f>
        <v>0</v>
      </c>
      <c r="M23" s="3">
        <v>6</v>
      </c>
    </row>
    <row r="24" spans="1:13">
      <c r="A24" s="72"/>
      <c r="B24" s="104" t="s">
        <v>333</v>
      </c>
      <c r="C24" s="4"/>
      <c r="D24" s="5">
        <f>C24/100*36</f>
        <v>0</v>
      </c>
      <c r="E24" s="11">
        <f>C24/100*3.1</f>
        <v>0</v>
      </c>
      <c r="F24" s="11">
        <f>C24/100*0.2</f>
        <v>0</v>
      </c>
      <c r="G24" s="11">
        <f>C24/100*7.5</f>
        <v>0</v>
      </c>
      <c r="H24" s="70">
        <f t="shared" si="5"/>
        <v>0</v>
      </c>
      <c r="I24" s="70">
        <f>C24/100*0.3</f>
        <v>0</v>
      </c>
      <c r="J24" s="70">
        <f>C24/100*2.7</f>
        <v>0</v>
      </c>
      <c r="K24" s="70">
        <f>C24/100*3</f>
        <v>0</v>
      </c>
      <c r="L24" s="70">
        <f>C24/100*0</f>
        <v>0</v>
      </c>
      <c r="M24" s="3">
        <v>6</v>
      </c>
    </row>
    <row r="25" spans="1:13">
      <c r="A25" s="72"/>
      <c r="B25" s="104"/>
      <c r="C25" s="4"/>
      <c r="D25" s="5"/>
      <c r="E25" s="11"/>
      <c r="F25" s="11"/>
      <c r="G25" s="11"/>
      <c r="H25" s="70"/>
      <c r="I25" s="70"/>
      <c r="J25" s="70"/>
      <c r="K25" s="70"/>
      <c r="L25" s="11"/>
      <c r="M25" s="19"/>
    </row>
    <row r="26" spans="1:13">
      <c r="A26" s="72"/>
      <c r="B26" s="81" t="s">
        <v>1119</v>
      </c>
      <c r="C26" s="4"/>
      <c r="D26" s="5">
        <f>C26/100*135</f>
        <v>0</v>
      </c>
      <c r="E26" s="11">
        <f>C26/100*9.8</f>
        <v>0</v>
      </c>
      <c r="F26" s="11">
        <f>C26/100*3.1</f>
        <v>0</v>
      </c>
      <c r="G26" s="11">
        <f>C26/100*16.9</f>
        <v>0</v>
      </c>
      <c r="H26" s="70">
        <f>C26/100*20</f>
        <v>0</v>
      </c>
      <c r="I26" s="70"/>
      <c r="J26" s="70"/>
      <c r="K26" s="70"/>
      <c r="L26" s="11">
        <f>C26/100*2.0947077</f>
        <v>0</v>
      </c>
      <c r="M26" s="3">
        <v>3</v>
      </c>
    </row>
    <row r="27" spans="1:13">
      <c r="A27" s="72"/>
      <c r="B27" s="81" t="s">
        <v>981</v>
      </c>
      <c r="C27" s="4"/>
      <c r="D27" s="5">
        <f>C27/100*37</f>
        <v>0</v>
      </c>
      <c r="E27" s="11">
        <f>C27/100*1</f>
        <v>0</v>
      </c>
      <c r="F27" s="11">
        <f>C27/100*0.1</f>
        <v>0</v>
      </c>
      <c r="G27" s="11">
        <f>C27/100*8.8</f>
        <v>0</v>
      </c>
      <c r="H27" s="70">
        <f>C27/100*0</f>
        <v>0</v>
      </c>
      <c r="I27" s="70">
        <f>C27/100*0.6</f>
        <v>0</v>
      </c>
      <c r="J27" s="70">
        <f>C27/100*1</f>
        <v>0</v>
      </c>
      <c r="K27" s="70">
        <f>C27/100*1.6</f>
        <v>0</v>
      </c>
      <c r="L27" s="70">
        <f>C27/100*0</f>
        <v>0</v>
      </c>
      <c r="M27" s="3">
        <v>6</v>
      </c>
    </row>
    <row r="28" spans="1:13">
      <c r="A28" s="72"/>
      <c r="B28" s="104" t="s">
        <v>355</v>
      </c>
      <c r="C28" s="4"/>
      <c r="D28" s="5">
        <f>C28/100*37</f>
        <v>0</v>
      </c>
      <c r="E28" s="11">
        <f>C28/100*3.9</f>
        <v>0</v>
      </c>
      <c r="F28" s="11">
        <f>C28/100*0.1</f>
        <v>0</v>
      </c>
      <c r="G28" s="11">
        <f>C28/100*7.5</f>
        <v>0</v>
      </c>
      <c r="H28" s="70">
        <f>C28/100*0</f>
        <v>0</v>
      </c>
      <c r="I28" s="70">
        <f>C28/100*0.8</f>
        <v>0</v>
      </c>
      <c r="J28" s="70">
        <f>C28/100*6.5</f>
        <v>0</v>
      </c>
      <c r="K28" s="70">
        <f>C28/100*7.3</f>
        <v>0</v>
      </c>
      <c r="L28" s="70">
        <f>C28/100*0</f>
        <v>0</v>
      </c>
      <c r="M28" s="3">
        <v>6</v>
      </c>
    </row>
    <row r="29" spans="1:13">
      <c r="A29" s="72"/>
      <c r="B29" s="104"/>
      <c r="C29" s="4"/>
      <c r="D29" s="5"/>
      <c r="E29" s="11"/>
      <c r="F29" s="11"/>
      <c r="G29" s="11"/>
      <c r="H29" s="70"/>
      <c r="I29" s="70"/>
      <c r="J29" s="70"/>
      <c r="K29" s="70"/>
      <c r="L29" s="11"/>
      <c r="M29" s="19"/>
    </row>
    <row r="30" spans="1:13">
      <c r="A30" s="72"/>
      <c r="B30" s="104"/>
      <c r="C30" s="4"/>
      <c r="D30" s="5"/>
      <c r="E30" s="11"/>
      <c r="F30" s="11"/>
      <c r="G30" s="11"/>
      <c r="H30" s="70"/>
      <c r="I30" s="70"/>
      <c r="J30" s="70"/>
      <c r="K30" s="70"/>
      <c r="L30" s="11"/>
      <c r="M30" s="19"/>
    </row>
    <row r="31" spans="1:13">
      <c r="A31" s="72"/>
      <c r="B31" s="104"/>
      <c r="C31" s="4"/>
      <c r="D31" s="5"/>
      <c r="E31" s="11"/>
      <c r="F31" s="11"/>
      <c r="G31" s="11"/>
      <c r="H31" s="70"/>
      <c r="I31" s="70"/>
      <c r="J31" s="70"/>
      <c r="K31" s="70"/>
      <c r="L31" s="11"/>
      <c r="M31" s="19"/>
    </row>
    <row r="32" spans="1:13">
      <c r="A32" s="72"/>
      <c r="B32" s="104"/>
      <c r="C32" s="4"/>
      <c r="D32" s="5"/>
      <c r="E32" s="11"/>
      <c r="F32" s="11"/>
      <c r="G32" s="11"/>
      <c r="H32" s="70"/>
      <c r="I32" s="70"/>
      <c r="J32" s="70"/>
      <c r="K32" s="70"/>
      <c r="L32" s="11"/>
      <c r="M32" s="19"/>
    </row>
    <row r="33" spans="1:13">
      <c r="A33" s="72"/>
      <c r="B33" s="104"/>
      <c r="C33" s="4"/>
      <c r="D33" s="5"/>
      <c r="E33" s="11"/>
      <c r="F33" s="11"/>
      <c r="G33" s="11"/>
      <c r="H33" s="70"/>
      <c r="I33" s="70"/>
      <c r="J33" s="70"/>
      <c r="K33" s="70"/>
      <c r="L33" s="11"/>
      <c r="M33" s="19"/>
    </row>
    <row r="34" spans="1:13">
      <c r="A34" s="72"/>
      <c r="B34" s="104"/>
      <c r="C34" s="4"/>
      <c r="D34" s="5"/>
      <c r="E34" s="11"/>
      <c r="F34" s="11"/>
      <c r="G34" s="11"/>
      <c r="H34" s="70"/>
      <c r="I34" s="70"/>
      <c r="J34" s="70"/>
      <c r="K34" s="70"/>
      <c r="L34" s="11"/>
      <c r="M34" s="19"/>
    </row>
    <row r="35" spans="1:13">
      <c r="A35" s="72"/>
      <c r="B35" s="104"/>
      <c r="C35" s="4"/>
      <c r="D35" s="5"/>
      <c r="E35" s="11"/>
      <c r="F35" s="11"/>
      <c r="G35" s="11"/>
      <c r="H35" s="70"/>
      <c r="I35" s="70"/>
      <c r="J35" s="70"/>
      <c r="K35" s="70"/>
      <c r="L35" s="11"/>
      <c r="M35" s="19"/>
    </row>
    <row r="36" spans="1:13">
      <c r="A36" s="72"/>
      <c r="B36" s="92"/>
      <c r="C36" s="74"/>
      <c r="D36" s="75"/>
      <c r="E36" s="75"/>
      <c r="F36" s="75"/>
      <c r="G36" s="75"/>
      <c r="H36" s="73"/>
      <c r="I36" s="128"/>
      <c r="J36" s="128"/>
      <c r="K36" s="128"/>
      <c r="L36" s="73"/>
      <c r="M36" s="15"/>
    </row>
    <row r="37" spans="1:13">
      <c r="A37" s="72"/>
      <c r="B37" s="92"/>
      <c r="C37" s="74"/>
      <c r="D37" s="75"/>
      <c r="E37" s="75"/>
      <c r="F37" s="75"/>
      <c r="G37" s="75"/>
      <c r="H37" s="73"/>
      <c r="I37" s="128"/>
      <c r="J37" s="128"/>
      <c r="K37" s="128"/>
      <c r="L37" s="73"/>
      <c r="M37" s="15"/>
    </row>
    <row r="38" spans="1:13">
      <c r="A38" s="72"/>
      <c r="B38" s="92"/>
      <c r="C38" s="74"/>
      <c r="D38" s="75"/>
      <c r="E38" s="75"/>
      <c r="F38" s="75"/>
      <c r="G38" s="75"/>
      <c r="H38" s="73"/>
      <c r="I38" s="128"/>
      <c r="J38" s="128"/>
      <c r="K38" s="128"/>
      <c r="L38" s="73"/>
      <c r="M38" s="15"/>
    </row>
    <row r="39" spans="1:13">
      <c r="A39" s="72"/>
      <c r="B39" s="92"/>
      <c r="C39" s="74"/>
      <c r="D39" s="75"/>
      <c r="E39" s="75"/>
      <c r="F39" s="75"/>
      <c r="G39" s="75"/>
      <c r="H39" s="73"/>
      <c r="I39" s="128"/>
      <c r="J39" s="128"/>
      <c r="K39" s="128"/>
      <c r="L39" s="73"/>
      <c r="M39" s="15"/>
    </row>
    <row r="40" spans="1:13">
      <c r="A40" s="72"/>
      <c r="B40" s="92"/>
      <c r="C40" s="74"/>
      <c r="D40" s="75"/>
      <c r="E40" s="75"/>
      <c r="F40" s="75"/>
      <c r="G40" s="75"/>
      <c r="H40" s="73"/>
      <c r="I40" s="128"/>
      <c r="J40" s="128"/>
      <c r="K40" s="128"/>
      <c r="L40" s="73"/>
      <c r="M40" s="15"/>
    </row>
    <row r="41" spans="1:13">
      <c r="A41" s="72"/>
      <c r="B41" s="92"/>
      <c r="C41" s="74"/>
      <c r="D41" s="75"/>
      <c r="E41" s="75"/>
      <c r="F41" s="75"/>
      <c r="G41" s="75"/>
      <c r="H41" s="73"/>
      <c r="I41" s="128"/>
      <c r="J41" s="128"/>
      <c r="K41" s="128"/>
      <c r="L41" s="73"/>
      <c r="M41" s="15"/>
    </row>
    <row r="42" spans="1:13">
      <c r="A42" s="72"/>
      <c r="B42" s="92"/>
      <c r="C42" s="74"/>
      <c r="D42" s="75"/>
      <c r="E42" s="75"/>
      <c r="F42" s="75"/>
      <c r="G42" s="75"/>
      <c r="H42" s="73"/>
      <c r="I42" s="128"/>
      <c r="J42" s="128"/>
      <c r="K42" s="128"/>
      <c r="L42" s="73"/>
      <c r="M42" s="15"/>
    </row>
    <row r="43" spans="1:13">
      <c r="A43" s="72"/>
      <c r="B43" s="92"/>
      <c r="C43" s="74"/>
      <c r="D43" s="75"/>
      <c r="E43" s="75"/>
      <c r="F43" s="75"/>
      <c r="G43" s="75"/>
      <c r="H43" s="73"/>
      <c r="I43" s="128"/>
      <c r="J43" s="128"/>
      <c r="K43" s="128"/>
      <c r="L43" s="73"/>
      <c r="M43" s="15"/>
    </row>
    <row r="44" spans="1:13" ht="14.25" thickBot="1">
      <c r="A44" s="72"/>
      <c r="B44" s="93"/>
      <c r="C44" s="134"/>
      <c r="D44" s="135"/>
      <c r="E44" s="135"/>
      <c r="F44" s="135"/>
      <c r="G44" s="135"/>
      <c r="H44" s="137"/>
      <c r="I44" s="136"/>
      <c r="J44" s="136"/>
      <c r="K44" s="136"/>
      <c r="L44" s="137"/>
      <c r="M44" s="91"/>
    </row>
    <row r="45" spans="1:13">
      <c r="A45" s="72"/>
      <c r="B45" s="140" t="s">
        <v>759</v>
      </c>
      <c r="C45" s="141">
        <f>C10</f>
        <v>406</v>
      </c>
      <c r="D45" s="138">
        <f>SUM(D12:D44)</f>
        <v>235.24</v>
      </c>
      <c r="E45" s="138">
        <f t="shared" ref="E45:L45" si="6">SUM(E12:E44)</f>
        <v>12.234</v>
      </c>
      <c r="F45" s="138">
        <f t="shared" si="6"/>
        <v>10.436</v>
      </c>
      <c r="G45" s="138">
        <f t="shared" si="6"/>
        <v>28.932000000000002</v>
      </c>
      <c r="H45" s="176">
        <f t="shared" si="6"/>
        <v>0</v>
      </c>
      <c r="I45" s="138">
        <f t="shared" si="6"/>
        <v>0</v>
      </c>
      <c r="J45" s="138">
        <f t="shared" si="6"/>
        <v>0</v>
      </c>
      <c r="K45" s="138">
        <f t="shared" si="6"/>
        <v>18.312000000000001</v>
      </c>
      <c r="L45" s="138">
        <f t="shared" si="6"/>
        <v>3.2437462799999999</v>
      </c>
      <c r="M45" s="139"/>
    </row>
    <row r="46" spans="1:13" ht="14.25" thickBot="1">
      <c r="A46" s="72"/>
      <c r="B46" s="142" t="str">
        <f>B10</f>
        <v>ささげ油炒め9/14</v>
      </c>
      <c r="C46" s="143">
        <v>100</v>
      </c>
      <c r="D46" s="144">
        <f>$C46/$C45*D45</f>
        <v>57.940886699507395</v>
      </c>
      <c r="E46" s="144">
        <f t="shared" ref="E46:L46" si="7">$C46/$C45*E45</f>
        <v>3.0133004926108375</v>
      </c>
      <c r="F46" s="144">
        <f t="shared" si="7"/>
        <v>2.5704433497536945</v>
      </c>
      <c r="G46" s="144">
        <f t="shared" si="7"/>
        <v>7.1261083743842368</v>
      </c>
      <c r="H46" s="247">
        <f t="shared" si="7"/>
        <v>0</v>
      </c>
      <c r="I46" s="144">
        <f t="shared" si="7"/>
        <v>0</v>
      </c>
      <c r="J46" s="144">
        <f t="shared" si="7"/>
        <v>0</v>
      </c>
      <c r="K46" s="144">
        <f t="shared" si="7"/>
        <v>4.5103448275862075</v>
      </c>
      <c r="L46" s="144">
        <f t="shared" si="7"/>
        <v>0.79895228571428567</v>
      </c>
      <c r="M46" s="144"/>
    </row>
    <row r="47" spans="1:13">
      <c r="A47" s="72"/>
      <c r="B47" s="112"/>
      <c r="C47" s="78"/>
      <c r="D47" s="76"/>
      <c r="E47" s="76"/>
      <c r="F47" s="76"/>
      <c r="G47" s="76"/>
      <c r="H47" s="76"/>
      <c r="I47" s="129"/>
      <c r="J47" s="129"/>
      <c r="K47" s="129"/>
      <c r="L47" s="119"/>
      <c r="M47" s="71"/>
    </row>
    <row r="48" spans="1:13">
      <c r="A48" s="72"/>
      <c r="B48" s="77"/>
      <c r="C48" s="78"/>
      <c r="D48" s="76"/>
      <c r="E48" s="76"/>
      <c r="F48" s="76"/>
      <c r="G48" s="76"/>
      <c r="H48" s="76"/>
      <c r="I48" s="129"/>
      <c r="J48" s="129"/>
      <c r="K48" s="129"/>
      <c r="L48" s="119"/>
      <c r="M48" s="71"/>
    </row>
    <row r="49" spans="5:13">
      <c r="E49" s="14"/>
      <c r="F49" s="14"/>
      <c r="G49" s="14"/>
      <c r="H49" s="14"/>
      <c r="I49" s="14"/>
      <c r="J49" s="14"/>
      <c r="K49" s="14"/>
      <c r="L49" s="14"/>
      <c r="M49" s="88"/>
    </row>
    <row r="50" spans="5:13">
      <c r="E50" s="14"/>
      <c r="F50" s="14"/>
      <c r="G50" s="14"/>
      <c r="H50" s="14"/>
      <c r="I50" s="14"/>
      <c r="J50" s="14"/>
      <c r="K50" s="14"/>
      <c r="L50" s="14"/>
      <c r="M50" s="88"/>
    </row>
    <row r="51" spans="5:13">
      <c r="E51" s="14"/>
      <c r="F51" s="14"/>
      <c r="G51" s="14"/>
      <c r="H51" s="14"/>
      <c r="I51" s="14"/>
      <c r="J51" s="14"/>
      <c r="K51" s="14"/>
      <c r="L51" s="14"/>
      <c r="M51" s="88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1"/>
  <sheetViews>
    <sheetView zoomScale="160" zoomScaleNormal="160" workbookViewId="0">
      <selection sqref="A1:XFD1048576"/>
    </sheetView>
  </sheetViews>
  <sheetFormatPr defaultRowHeight="13.5"/>
  <cols>
    <col min="1" max="1" width="2" customWidth="1"/>
    <col min="2" max="2" width="20.75" bestFit="1" customWidth="1"/>
    <col min="3" max="3" width="12.25" bestFit="1" customWidth="1"/>
    <col min="4" max="4" width="7.5" bestFit="1" customWidth="1"/>
    <col min="5" max="5" width="7.125" style="126" bestFit="1" customWidth="1"/>
    <col min="6" max="6" width="6.375" style="126" bestFit="1" customWidth="1"/>
    <col min="7" max="7" width="7.125" style="126" bestFit="1" customWidth="1"/>
    <col min="8" max="8" width="7.5" style="126" bestFit="1" customWidth="1"/>
    <col min="9" max="11" width="5.5" style="126" bestFit="1" customWidth="1"/>
    <col min="12" max="12" width="7.125" style="126" bestFit="1" customWidth="1"/>
    <col min="13" max="13" width="8.5" bestFit="1" customWidth="1"/>
  </cols>
  <sheetData>
    <row r="1" spans="1:13" ht="41.25" thickBot="1">
      <c r="A1" s="72"/>
      <c r="B1" s="104" t="s">
        <v>0</v>
      </c>
      <c r="C1" s="3" t="s">
        <v>1</v>
      </c>
      <c r="D1" s="3" t="s">
        <v>756</v>
      </c>
      <c r="E1" s="96" t="s">
        <v>757</v>
      </c>
      <c r="F1" s="3" t="s">
        <v>4</v>
      </c>
      <c r="G1" s="96" t="s">
        <v>760</v>
      </c>
      <c r="H1" s="120" t="s">
        <v>1148</v>
      </c>
      <c r="I1" s="131" t="s">
        <v>6</v>
      </c>
      <c r="J1" s="131" t="s">
        <v>7</v>
      </c>
      <c r="K1" s="131" t="s">
        <v>8</v>
      </c>
      <c r="L1" s="122" t="s">
        <v>9</v>
      </c>
      <c r="M1" s="89" t="s">
        <v>746</v>
      </c>
    </row>
    <row r="2" spans="1:13">
      <c r="A2" s="72"/>
      <c r="B2" s="140" t="s">
        <v>759</v>
      </c>
      <c r="C2" s="141">
        <f>C10</f>
        <v>56</v>
      </c>
      <c r="D2" s="138">
        <f>SUM(D12:D44)</f>
        <v>66.768000000000001</v>
      </c>
      <c r="E2" s="138">
        <f t="shared" ref="E2:L2" si="0">SUM(E12:E44)</f>
        <v>10.083600000000001</v>
      </c>
      <c r="F2" s="138">
        <f t="shared" si="0"/>
        <v>2.1335999999999999</v>
      </c>
      <c r="G2" s="138">
        <f t="shared" si="0"/>
        <v>1.0531999999999999</v>
      </c>
      <c r="H2" s="138">
        <f t="shared" si="0"/>
        <v>57.53</v>
      </c>
      <c r="I2" s="138">
        <f t="shared" si="0"/>
        <v>0</v>
      </c>
      <c r="J2" s="138">
        <f t="shared" si="0"/>
        <v>0</v>
      </c>
      <c r="K2" s="138">
        <f t="shared" si="0"/>
        <v>0</v>
      </c>
      <c r="L2" s="138">
        <f t="shared" si="0"/>
        <v>0.40314404799999998</v>
      </c>
      <c r="M2" s="138"/>
    </row>
    <row r="3" spans="1:13" ht="14.25" thickBot="1">
      <c r="A3" s="72"/>
      <c r="B3" s="142" t="str">
        <f>B10</f>
        <v>刺身9/13</v>
      </c>
      <c r="C3" s="143">
        <v>100</v>
      </c>
      <c r="D3" s="144">
        <f>$C$3/$C$2*D2</f>
        <v>119.22857142857144</v>
      </c>
      <c r="E3" s="144">
        <f t="shared" ref="E3:L3" si="1">$C$3/$C$2*E2</f>
        <v>18.006428571428572</v>
      </c>
      <c r="F3" s="144">
        <f t="shared" si="1"/>
        <v>3.81</v>
      </c>
      <c r="G3" s="144">
        <f t="shared" si="1"/>
        <v>1.8807142857142856</v>
      </c>
      <c r="H3" s="144">
        <f t="shared" si="1"/>
        <v>102.73214285714286</v>
      </c>
      <c r="I3" s="144">
        <f t="shared" si="1"/>
        <v>0</v>
      </c>
      <c r="J3" s="144">
        <f t="shared" si="1"/>
        <v>0</v>
      </c>
      <c r="K3" s="144">
        <f t="shared" si="1"/>
        <v>0</v>
      </c>
      <c r="L3" s="144">
        <f t="shared" si="1"/>
        <v>0.71990008571428576</v>
      </c>
      <c r="M3" s="144"/>
    </row>
    <row r="6" spans="1:13">
      <c r="C6" t="s">
        <v>1152</v>
      </c>
      <c r="D6" s="74">
        <f>SUM(C12:C15)</f>
        <v>54</v>
      </c>
      <c r="E6" s="13"/>
      <c r="F6" s="13">
        <f>D6-E6</f>
        <v>54</v>
      </c>
    </row>
    <row r="7" spans="1:13">
      <c r="C7" t="s">
        <v>1153</v>
      </c>
      <c r="D7" s="13">
        <v>0</v>
      </c>
      <c r="E7" s="13">
        <v>0</v>
      </c>
      <c r="F7" s="43">
        <f>D7-E7</f>
        <v>0</v>
      </c>
    </row>
    <row r="8" spans="1:13">
      <c r="C8" t="s">
        <v>1154</v>
      </c>
      <c r="D8" s="13">
        <v>0</v>
      </c>
      <c r="E8" s="13">
        <v>0</v>
      </c>
      <c r="F8" s="13">
        <f>D8-E8</f>
        <v>0</v>
      </c>
    </row>
    <row r="9" spans="1:13">
      <c r="B9" s="14" t="s">
        <v>1160</v>
      </c>
    </row>
    <row r="10" spans="1:13">
      <c r="A10" s="72"/>
      <c r="B10" s="130" t="s">
        <v>1267</v>
      </c>
      <c r="C10" s="125">
        <v>56</v>
      </c>
      <c r="D10" s="72"/>
      <c r="E10" s="127"/>
      <c r="F10" s="127"/>
      <c r="G10" s="127"/>
      <c r="H10" s="127"/>
      <c r="I10" s="127"/>
      <c r="J10" s="127"/>
      <c r="K10" s="127"/>
      <c r="L10" s="127"/>
      <c r="M10" s="72"/>
    </row>
    <row r="11" spans="1:13" ht="52.5" customHeight="1">
      <c r="A11" s="72"/>
      <c r="B11" s="104" t="s">
        <v>0</v>
      </c>
      <c r="C11" s="3" t="s">
        <v>1</v>
      </c>
      <c r="D11" s="3" t="s">
        <v>756</v>
      </c>
      <c r="E11" s="96" t="s">
        <v>757</v>
      </c>
      <c r="F11" s="3" t="s">
        <v>4</v>
      </c>
      <c r="G11" s="96" t="s">
        <v>760</v>
      </c>
      <c r="H11" s="120" t="s">
        <v>1148</v>
      </c>
      <c r="I11" s="131" t="s">
        <v>6</v>
      </c>
      <c r="J11" s="131" t="s">
        <v>7</v>
      </c>
      <c r="K11" s="131" t="s">
        <v>8</v>
      </c>
      <c r="L11" s="122" t="s">
        <v>9</v>
      </c>
      <c r="M11" s="89" t="s">
        <v>746</v>
      </c>
    </row>
    <row r="12" spans="1:13">
      <c r="A12" s="72"/>
      <c r="B12" s="104" t="s">
        <v>614</v>
      </c>
      <c r="C12" s="4">
        <v>6</v>
      </c>
      <c r="D12" s="5">
        <f>C12/100*97</f>
        <v>5.8199999999999994</v>
      </c>
      <c r="E12" s="11">
        <f>C12/100*17.9</f>
        <v>1.0739999999999998</v>
      </c>
      <c r="F12" s="11">
        <f>C12/100*0.1</f>
        <v>6.0000000000000001E-3</v>
      </c>
      <c r="G12" s="11">
        <f>C12/100*4.9</f>
        <v>0.29399999999999998</v>
      </c>
      <c r="H12" s="70">
        <f>C12/100*33</f>
        <v>1.98</v>
      </c>
      <c r="I12" s="70"/>
      <c r="J12" s="70"/>
      <c r="K12" s="70"/>
      <c r="L12" s="70">
        <f>C12/100*0.3</f>
        <v>1.7999999999999999E-2</v>
      </c>
      <c r="M12" s="3">
        <v>3</v>
      </c>
    </row>
    <row r="13" spans="1:13">
      <c r="A13" s="72"/>
      <c r="B13" s="104" t="s">
        <v>643</v>
      </c>
      <c r="C13" s="4">
        <v>27</v>
      </c>
      <c r="D13" s="5">
        <f>C13/100*108</f>
        <v>29.160000000000004</v>
      </c>
      <c r="E13" s="11">
        <f>C13/100*22.8</f>
        <v>6.1560000000000006</v>
      </c>
      <c r="F13" s="11">
        <f>C13/100*1.2</f>
        <v>0.32400000000000001</v>
      </c>
      <c r="G13" s="11">
        <f>C13/100*0.2</f>
        <v>5.4000000000000006E-2</v>
      </c>
      <c r="H13" s="70">
        <f>C13/100*43</f>
        <v>11.610000000000001</v>
      </c>
      <c r="I13" s="70"/>
      <c r="J13" s="70"/>
      <c r="K13" s="70"/>
      <c r="L13" s="70">
        <f>C13/100*0.1</f>
        <v>2.7000000000000003E-2</v>
      </c>
      <c r="M13" s="3">
        <v>3</v>
      </c>
    </row>
    <row r="14" spans="1:13">
      <c r="A14" s="72"/>
      <c r="B14" s="81" t="s">
        <v>830</v>
      </c>
      <c r="C14" s="4">
        <v>6</v>
      </c>
      <c r="D14" s="5">
        <f>C14/100*139</f>
        <v>8.34</v>
      </c>
      <c r="E14" s="11">
        <f>C14/100*22.51</f>
        <v>1.3506</v>
      </c>
      <c r="F14" s="11">
        <f>C14/100*4.51</f>
        <v>0.27059999999999995</v>
      </c>
      <c r="G14" s="11">
        <f>C14/100*0.11</f>
        <v>6.6E-3</v>
      </c>
      <c r="H14" s="70">
        <f>C14/100*59</f>
        <v>3.54</v>
      </c>
      <c r="I14" s="70"/>
      <c r="J14" s="70"/>
      <c r="K14" s="70"/>
      <c r="L14" s="70">
        <f>C14/100*0.1449008</f>
        <v>8.6940479999999994E-3</v>
      </c>
      <c r="M14" s="3">
        <v>3</v>
      </c>
    </row>
    <row r="15" spans="1:13">
      <c r="A15" s="72"/>
      <c r="B15" s="1" t="s">
        <v>1182</v>
      </c>
      <c r="C15" s="4">
        <v>15</v>
      </c>
      <c r="D15" s="5">
        <f>C15/100*144.72</f>
        <v>21.707999999999998</v>
      </c>
      <c r="E15" s="11">
        <f>C15/100*7.38</f>
        <v>1.107</v>
      </c>
      <c r="F15" s="11">
        <f>C15/100*10.18</f>
        <v>1.5269999999999999</v>
      </c>
      <c r="G15" s="11">
        <f>C15/100*4.644</f>
        <v>0.6966</v>
      </c>
      <c r="H15" s="70">
        <f>C15/100*252</f>
        <v>37.799999999999997</v>
      </c>
      <c r="I15" s="70">
        <f>C15/100*0</f>
        <v>0</v>
      </c>
      <c r="J15" s="70">
        <f>C15/100*0</f>
        <v>0</v>
      </c>
      <c r="K15" s="70">
        <f>C15/100*0</f>
        <v>0</v>
      </c>
      <c r="L15" s="11">
        <f>C15/100*2.223</f>
        <v>0.33344999999999997</v>
      </c>
      <c r="M15" s="19" t="s">
        <v>751</v>
      </c>
    </row>
    <row r="16" spans="1:13">
      <c r="A16" s="72"/>
      <c r="B16" s="103" t="s">
        <v>97</v>
      </c>
      <c r="C16" s="4">
        <v>2</v>
      </c>
      <c r="D16" s="5">
        <f>C16/100*87</f>
        <v>1.74</v>
      </c>
      <c r="E16" s="11">
        <f>C16/100*19.8</f>
        <v>0.39600000000000002</v>
      </c>
      <c r="F16" s="11">
        <f>C16/100*0.3</f>
        <v>6.0000000000000001E-3</v>
      </c>
      <c r="G16" s="11">
        <f>C16/100*0.1</f>
        <v>2E-3</v>
      </c>
      <c r="H16" s="11">
        <f>C16/100*130</f>
        <v>2.6</v>
      </c>
      <c r="I16" s="70"/>
      <c r="J16" s="70"/>
      <c r="K16" s="70"/>
      <c r="L16" s="70">
        <f>C16/100*0.8</f>
        <v>1.6E-2</v>
      </c>
      <c r="M16" s="3">
        <v>3</v>
      </c>
    </row>
    <row r="17" spans="1:13">
      <c r="A17" s="72"/>
      <c r="B17" s="103"/>
      <c r="C17" s="4"/>
      <c r="D17" s="5"/>
      <c r="E17" s="11"/>
      <c r="F17" s="11"/>
      <c r="G17" s="11"/>
      <c r="H17" s="70"/>
      <c r="I17" s="70"/>
      <c r="J17" s="70"/>
      <c r="K17" s="70"/>
      <c r="L17" s="70"/>
      <c r="M17" s="19"/>
    </row>
    <row r="18" spans="1:13">
      <c r="A18" s="72"/>
      <c r="B18" s="103"/>
      <c r="C18" s="4"/>
      <c r="D18" s="5"/>
      <c r="E18" s="11"/>
      <c r="F18" s="11"/>
      <c r="G18" s="11"/>
      <c r="H18" s="70"/>
      <c r="I18" s="70"/>
      <c r="J18" s="70"/>
      <c r="K18" s="70"/>
      <c r="L18" s="70"/>
      <c r="M18" s="3"/>
    </row>
    <row r="19" spans="1:13">
      <c r="A19" s="72"/>
      <c r="B19" s="104"/>
      <c r="C19" s="4"/>
      <c r="D19" s="5"/>
      <c r="E19" s="11"/>
      <c r="F19" s="11"/>
      <c r="G19" s="11"/>
      <c r="H19" s="70"/>
      <c r="I19" s="70"/>
      <c r="J19" s="70"/>
      <c r="K19" s="70"/>
      <c r="L19" s="70"/>
      <c r="M19" s="3"/>
    </row>
    <row r="20" spans="1:13">
      <c r="A20" s="72"/>
      <c r="B20" s="1"/>
      <c r="C20" s="4"/>
      <c r="D20" s="5"/>
      <c r="E20" s="11"/>
      <c r="F20" s="11"/>
      <c r="G20" s="11"/>
      <c r="H20" s="70"/>
      <c r="I20" s="70"/>
      <c r="J20" s="70"/>
      <c r="K20" s="70"/>
      <c r="L20" s="11"/>
      <c r="M20" s="19"/>
    </row>
    <row r="21" spans="1:13">
      <c r="A21" s="72"/>
      <c r="B21" s="104" t="s">
        <v>579</v>
      </c>
      <c r="C21" s="4"/>
      <c r="D21" s="5">
        <f>C21/100*216</f>
        <v>0</v>
      </c>
      <c r="E21" s="11">
        <f>C21/100*18.5</f>
        <v>0</v>
      </c>
      <c r="F21" s="11">
        <f>C21/100*14.6</f>
        <v>0</v>
      </c>
      <c r="G21" s="11">
        <f>C21/100*0.2</f>
        <v>0</v>
      </c>
      <c r="H21" s="70">
        <f>C21/100*65</f>
        <v>0</v>
      </c>
      <c r="I21" s="70"/>
      <c r="J21" s="70"/>
      <c r="K21" s="70"/>
      <c r="L21" s="11">
        <f>C21/100*0.1</f>
        <v>0</v>
      </c>
      <c r="M21" s="3">
        <v>3</v>
      </c>
    </row>
    <row r="22" spans="1:13">
      <c r="A22" s="72"/>
      <c r="B22" s="81" t="s">
        <v>1186</v>
      </c>
      <c r="C22" s="4"/>
      <c r="D22" s="5">
        <f>C22/100*195.55</f>
        <v>0</v>
      </c>
      <c r="E22" s="11">
        <f>C22/100*17.97</f>
        <v>0</v>
      </c>
      <c r="F22" s="11">
        <f>C22/100*10.42</f>
        <v>0</v>
      </c>
      <c r="G22" s="11">
        <f>C22/100*5.54</f>
        <v>0</v>
      </c>
      <c r="H22" s="70">
        <f>C22/100*160.36</f>
        <v>0</v>
      </c>
      <c r="I22" s="70"/>
      <c r="J22" s="70"/>
      <c r="K22" s="70">
        <f>C22/100*0.18</f>
        <v>0</v>
      </c>
      <c r="L22" s="11">
        <f>C22/100*0.33</f>
        <v>0</v>
      </c>
      <c r="M22" s="3">
        <v>3</v>
      </c>
    </row>
    <row r="23" spans="1:13">
      <c r="A23" s="72"/>
      <c r="B23" s="103" t="s">
        <v>261</v>
      </c>
      <c r="C23" s="4"/>
      <c r="D23" s="5">
        <f>C23/100*168</f>
        <v>0</v>
      </c>
      <c r="E23" s="11">
        <f>C23/100*2.5</f>
        <v>0</v>
      </c>
      <c r="F23" s="11">
        <f>C23/100*0.3</f>
        <v>0</v>
      </c>
      <c r="G23" s="11">
        <f>C23/100*37.1</f>
        <v>0</v>
      </c>
      <c r="H23" s="70">
        <f t="shared" ref="H23" si="2">C23/100*0</f>
        <v>0</v>
      </c>
      <c r="I23" s="70">
        <f>C23/100*0</f>
        <v>0</v>
      </c>
      <c r="J23" s="70">
        <f>C23/100*0.3</f>
        <v>0</v>
      </c>
      <c r="K23" s="70">
        <f>C23/100*0.3</f>
        <v>0</v>
      </c>
      <c r="L23" s="70">
        <f>C23/100*0</f>
        <v>0</v>
      </c>
      <c r="M23" s="3">
        <v>1</v>
      </c>
    </row>
    <row r="24" spans="1:13">
      <c r="A24" s="72"/>
      <c r="B24" s="104" t="s">
        <v>330</v>
      </c>
      <c r="C24" s="4"/>
      <c r="D24" s="5">
        <f>C24/100*289</f>
        <v>0</v>
      </c>
      <c r="E24" s="11">
        <f>C24/100*12.4</f>
        <v>0</v>
      </c>
      <c r="F24" s="11">
        <f>C24/100*22.2</f>
        <v>0</v>
      </c>
      <c r="G24" s="11">
        <f>C24/100*9.8</f>
        <v>0</v>
      </c>
      <c r="H24" s="70">
        <f>C24/100*83</f>
        <v>0</v>
      </c>
      <c r="I24" s="70"/>
      <c r="J24" s="70"/>
      <c r="K24" s="70"/>
      <c r="L24" s="70">
        <f>C24/100*1.8</f>
        <v>0</v>
      </c>
      <c r="M24" s="3">
        <v>3</v>
      </c>
    </row>
    <row r="25" spans="1:13">
      <c r="A25" s="72"/>
      <c r="B25" s="81" t="s">
        <v>523</v>
      </c>
      <c r="C25" s="4"/>
      <c r="D25" s="5">
        <f>C25/100*37</f>
        <v>0</v>
      </c>
      <c r="E25" s="11">
        <f>C25/100*0.6</f>
        <v>0</v>
      </c>
      <c r="F25" s="11">
        <f>C25/100*0.1</f>
        <v>0</v>
      </c>
      <c r="G25" s="11">
        <f>C25/100*9.1</f>
        <v>0</v>
      </c>
      <c r="H25" s="70">
        <f t="shared" ref="H25:H30" si="3">C25/100*0</f>
        <v>0</v>
      </c>
      <c r="I25" s="70">
        <f>C25/100*0.7</f>
        <v>0</v>
      </c>
      <c r="J25" s="70">
        <f>C25/100*2</f>
        <v>0</v>
      </c>
      <c r="K25" s="70">
        <f>C25/100*2.7</f>
        <v>0</v>
      </c>
      <c r="L25" s="70">
        <f>C25/100*0.1</f>
        <v>0</v>
      </c>
      <c r="M25" s="3">
        <v>6</v>
      </c>
    </row>
    <row r="26" spans="1:13">
      <c r="A26" s="72"/>
      <c r="B26" s="81" t="s">
        <v>552</v>
      </c>
      <c r="C26" s="4"/>
      <c r="D26" s="5">
        <f>C26/100*22</f>
        <v>0</v>
      </c>
      <c r="E26" s="11">
        <f>C26/100*0.9</f>
        <v>0</v>
      </c>
      <c r="F26" s="11">
        <f>C26/100*0.2</f>
        <v>0</v>
      </c>
      <c r="G26" s="11">
        <f>C26/100*5.1</f>
        <v>0</v>
      </c>
      <c r="H26" s="70">
        <f t="shared" si="3"/>
        <v>0</v>
      </c>
      <c r="I26" s="70">
        <f>C26/100*0.6</f>
        <v>0</v>
      </c>
      <c r="J26" s="70">
        <f>C26/100*1.7</f>
        <v>0</v>
      </c>
      <c r="K26" s="70">
        <f>C26/100*2.3</f>
        <v>0</v>
      </c>
      <c r="L26" s="70">
        <f>C26/100*0</f>
        <v>0</v>
      </c>
      <c r="M26" s="19">
        <v>6</v>
      </c>
    </row>
    <row r="27" spans="1:13">
      <c r="A27" s="72"/>
      <c r="B27" s="81" t="s">
        <v>605</v>
      </c>
      <c r="C27" s="4"/>
      <c r="D27" s="5">
        <f>C27/100*126/0.14</f>
        <v>0</v>
      </c>
      <c r="E27" s="11">
        <f>C27/100*0/0.14</f>
        <v>0</v>
      </c>
      <c r="F27" s="11">
        <f>C27/100*14/0.14</f>
        <v>0</v>
      </c>
      <c r="G27" s="11">
        <f>C27/100*0/0.14</f>
        <v>0</v>
      </c>
      <c r="H27" s="70">
        <f t="shared" si="3"/>
        <v>0</v>
      </c>
      <c r="I27" s="70"/>
      <c r="J27" s="70"/>
      <c r="K27" s="70"/>
      <c r="L27" s="70"/>
      <c r="M27" s="3">
        <v>5</v>
      </c>
    </row>
    <row r="28" spans="1:13">
      <c r="A28" s="72"/>
      <c r="B28" s="104" t="s">
        <v>999</v>
      </c>
      <c r="C28" s="4"/>
      <c r="D28" s="5">
        <f>C28/100*140</f>
        <v>0</v>
      </c>
      <c r="E28" s="11">
        <f>C28/100*4.6</f>
        <v>0</v>
      </c>
      <c r="F28" s="11">
        <f>C28/100*0</f>
        <v>0</v>
      </c>
      <c r="G28" s="11">
        <f>C28/100*27.6</f>
        <v>0</v>
      </c>
      <c r="H28" s="70">
        <f t="shared" si="3"/>
        <v>0</v>
      </c>
      <c r="I28" s="70"/>
      <c r="J28" s="70"/>
      <c r="K28" s="70"/>
      <c r="L28" s="11">
        <f>C28/100*11.185332</f>
        <v>0</v>
      </c>
      <c r="M28" s="19" t="s">
        <v>750</v>
      </c>
    </row>
    <row r="29" spans="1:13">
      <c r="A29" s="72"/>
      <c r="B29" s="103" t="s">
        <v>480</v>
      </c>
      <c r="C29" s="4"/>
      <c r="D29" s="5">
        <f>C29/100*386</f>
        <v>0</v>
      </c>
      <c r="E29" s="11">
        <f>C29/100*18.6</f>
        <v>0</v>
      </c>
      <c r="F29" s="11">
        <f>C29/100*33.1</f>
        <v>0</v>
      </c>
      <c r="G29" s="11">
        <f>C29/100*2.5</f>
        <v>0</v>
      </c>
      <c r="H29" s="70">
        <f t="shared" si="3"/>
        <v>0</v>
      </c>
      <c r="I29" s="70">
        <f>C29/100*0.5</f>
        <v>0</v>
      </c>
      <c r="J29" s="70">
        <f>C29/100*0.6</f>
        <v>0</v>
      </c>
      <c r="K29" s="70">
        <f>C29/100*1.1</f>
        <v>0</v>
      </c>
      <c r="L29" s="70">
        <f t="shared" ref="L29" si="4">C29/100*0</f>
        <v>0</v>
      </c>
      <c r="M29" s="3">
        <v>3</v>
      </c>
    </row>
    <row r="30" spans="1:13">
      <c r="A30" s="72"/>
      <c r="B30" s="103" t="s">
        <v>366</v>
      </c>
      <c r="C30" s="4"/>
      <c r="D30" s="5">
        <f>C30/100*384</f>
        <v>0</v>
      </c>
      <c r="E30" s="11">
        <f>C30/100*0</f>
        <v>0</v>
      </c>
      <c r="F30" s="11">
        <f>C30/100*0</f>
        <v>0</v>
      </c>
      <c r="G30" s="11">
        <f>C30/100*99.2</f>
        <v>0</v>
      </c>
      <c r="H30" s="70">
        <f t="shared" si="3"/>
        <v>0</v>
      </c>
      <c r="I30" s="70"/>
      <c r="J30" s="70"/>
      <c r="K30" s="70">
        <f>C30/100*0</f>
        <v>0</v>
      </c>
      <c r="L30" s="70">
        <f>C30/100*0.0025421</f>
        <v>0</v>
      </c>
      <c r="M30" s="19" t="s">
        <v>750</v>
      </c>
    </row>
    <row r="31" spans="1:13">
      <c r="A31" s="72"/>
      <c r="B31" s="81" t="s">
        <v>52</v>
      </c>
      <c r="C31" s="4"/>
      <c r="D31" s="5">
        <f>C31/100*88</f>
        <v>0</v>
      </c>
      <c r="E31" s="11">
        <f>C31/100*18.1</f>
        <v>0</v>
      </c>
      <c r="F31" s="11">
        <f>C31/100*1.2</f>
        <v>0</v>
      </c>
      <c r="G31" s="11">
        <f>C31/100*0.2</f>
        <v>0</v>
      </c>
      <c r="H31" s="70">
        <f>C31/100*270</f>
        <v>0</v>
      </c>
      <c r="I31" s="70"/>
      <c r="J31" s="70"/>
      <c r="K31" s="70"/>
      <c r="L31" s="70">
        <f>C31/100*0.8</f>
        <v>0</v>
      </c>
      <c r="M31" s="3">
        <v>3</v>
      </c>
    </row>
    <row r="32" spans="1:13">
      <c r="A32" s="72"/>
      <c r="B32" s="104"/>
      <c r="C32" s="4"/>
      <c r="D32" s="5"/>
      <c r="E32" s="11"/>
      <c r="F32" s="11"/>
      <c r="G32" s="11"/>
      <c r="H32" s="70"/>
      <c r="I32" s="70"/>
      <c r="J32" s="70"/>
      <c r="K32" s="70"/>
      <c r="L32" s="11"/>
      <c r="M32" s="19"/>
    </row>
    <row r="33" spans="1:13">
      <c r="A33" s="72"/>
      <c r="B33" s="104"/>
      <c r="C33" s="4"/>
      <c r="D33" s="5"/>
      <c r="E33" s="11"/>
      <c r="F33" s="11"/>
      <c r="G33" s="11"/>
      <c r="H33" s="70"/>
      <c r="I33" s="70"/>
      <c r="J33" s="70"/>
      <c r="K33" s="70"/>
      <c r="L33" s="11"/>
      <c r="M33" s="19"/>
    </row>
    <row r="34" spans="1:13">
      <c r="A34" s="72"/>
      <c r="B34" s="104"/>
      <c r="C34" s="4"/>
      <c r="D34" s="5"/>
      <c r="E34" s="11"/>
      <c r="F34" s="11"/>
      <c r="G34" s="11"/>
      <c r="H34" s="70"/>
      <c r="I34" s="70"/>
      <c r="J34" s="70"/>
      <c r="K34" s="70"/>
      <c r="L34" s="11"/>
      <c r="M34" s="19"/>
    </row>
    <row r="35" spans="1:13">
      <c r="A35" s="72"/>
      <c r="B35" s="104"/>
      <c r="C35" s="4"/>
      <c r="D35" s="5"/>
      <c r="E35" s="11"/>
      <c r="F35" s="11"/>
      <c r="G35" s="11"/>
      <c r="H35" s="70"/>
      <c r="I35" s="70"/>
      <c r="J35" s="70"/>
      <c r="K35" s="70"/>
      <c r="L35" s="11"/>
      <c r="M35" s="19"/>
    </row>
    <row r="36" spans="1:13">
      <c r="A36" s="72"/>
      <c r="B36" s="92"/>
      <c r="C36" s="74"/>
      <c r="D36" s="75"/>
      <c r="E36" s="75"/>
      <c r="F36" s="75"/>
      <c r="G36" s="75"/>
      <c r="H36" s="73"/>
      <c r="I36" s="128"/>
      <c r="J36" s="128"/>
      <c r="K36" s="128"/>
      <c r="L36" s="73"/>
      <c r="M36" s="15"/>
    </row>
    <row r="37" spans="1:13">
      <c r="A37" s="72"/>
      <c r="B37" s="92"/>
      <c r="C37" s="74"/>
      <c r="D37" s="75"/>
      <c r="E37" s="75"/>
      <c r="F37" s="75"/>
      <c r="G37" s="75"/>
      <c r="H37" s="73"/>
      <c r="I37" s="128"/>
      <c r="J37" s="128"/>
      <c r="K37" s="128"/>
      <c r="L37" s="73"/>
      <c r="M37" s="15"/>
    </row>
    <row r="38" spans="1:13">
      <c r="A38" s="72"/>
      <c r="B38" s="92"/>
      <c r="C38" s="74"/>
      <c r="D38" s="75"/>
      <c r="E38" s="75"/>
      <c r="F38" s="75"/>
      <c r="G38" s="75"/>
      <c r="H38" s="73"/>
      <c r="I38" s="128"/>
      <c r="J38" s="128"/>
      <c r="K38" s="128"/>
      <c r="L38" s="73"/>
      <c r="M38" s="15"/>
    </row>
    <row r="39" spans="1:13">
      <c r="A39" s="72"/>
      <c r="B39" s="92"/>
      <c r="C39" s="74"/>
      <c r="D39" s="75"/>
      <c r="E39" s="75"/>
      <c r="F39" s="75"/>
      <c r="G39" s="75"/>
      <c r="H39" s="73"/>
      <c r="I39" s="128"/>
      <c r="J39" s="128"/>
      <c r="K39" s="128"/>
      <c r="L39" s="73"/>
      <c r="M39" s="15"/>
    </row>
    <row r="40" spans="1:13">
      <c r="A40" s="72"/>
      <c r="B40" s="92"/>
      <c r="C40" s="74"/>
      <c r="D40" s="75"/>
      <c r="E40" s="75"/>
      <c r="F40" s="75"/>
      <c r="G40" s="75"/>
      <c r="H40" s="73"/>
      <c r="I40" s="128"/>
      <c r="J40" s="128"/>
      <c r="K40" s="128"/>
      <c r="L40" s="73"/>
      <c r="M40" s="15"/>
    </row>
    <row r="41" spans="1:13">
      <c r="A41" s="72"/>
      <c r="B41" s="92"/>
      <c r="C41" s="74"/>
      <c r="D41" s="75"/>
      <c r="E41" s="75"/>
      <c r="F41" s="75"/>
      <c r="G41" s="75"/>
      <c r="H41" s="73"/>
      <c r="I41" s="128"/>
      <c r="J41" s="128"/>
      <c r="K41" s="128"/>
      <c r="L41" s="73"/>
      <c r="M41" s="15"/>
    </row>
    <row r="42" spans="1:13">
      <c r="A42" s="72"/>
      <c r="B42" s="92"/>
      <c r="C42" s="74"/>
      <c r="D42" s="75"/>
      <c r="E42" s="75"/>
      <c r="F42" s="75"/>
      <c r="G42" s="75"/>
      <c r="H42" s="73"/>
      <c r="I42" s="128"/>
      <c r="J42" s="128"/>
      <c r="K42" s="128"/>
      <c r="L42" s="73"/>
      <c r="M42" s="15"/>
    </row>
    <row r="43" spans="1:13">
      <c r="A43" s="72"/>
      <c r="B43" s="92"/>
      <c r="C43" s="74"/>
      <c r="D43" s="75"/>
      <c r="E43" s="75"/>
      <c r="F43" s="75"/>
      <c r="G43" s="75"/>
      <c r="H43" s="73"/>
      <c r="I43" s="128"/>
      <c r="J43" s="128"/>
      <c r="K43" s="128"/>
      <c r="L43" s="73"/>
      <c r="M43" s="15"/>
    </row>
    <row r="44" spans="1:13" ht="14.25" thickBot="1">
      <c r="A44" s="72"/>
      <c r="B44" s="93"/>
      <c r="C44" s="134"/>
      <c r="D44" s="135"/>
      <c r="E44" s="135"/>
      <c r="F44" s="135"/>
      <c r="G44" s="135"/>
      <c r="H44" s="137"/>
      <c r="I44" s="136"/>
      <c r="J44" s="136"/>
      <c r="K44" s="136"/>
      <c r="L44" s="137"/>
      <c r="M44" s="91"/>
    </row>
    <row r="45" spans="1:13">
      <c r="A45" s="72"/>
      <c r="B45" s="140" t="s">
        <v>759</v>
      </c>
      <c r="C45" s="141">
        <f>C10</f>
        <v>56</v>
      </c>
      <c r="D45" s="138">
        <f>SUM(D12:D44)</f>
        <v>66.768000000000001</v>
      </c>
      <c r="E45" s="138">
        <f t="shared" ref="E45:L45" si="5">SUM(E12:E44)</f>
        <v>10.083600000000001</v>
      </c>
      <c r="F45" s="138">
        <f t="shared" si="5"/>
        <v>2.1335999999999999</v>
      </c>
      <c r="G45" s="138">
        <f t="shared" si="5"/>
        <v>1.0531999999999999</v>
      </c>
      <c r="H45" s="176">
        <f t="shared" si="5"/>
        <v>57.53</v>
      </c>
      <c r="I45" s="138">
        <f t="shared" si="5"/>
        <v>0</v>
      </c>
      <c r="J45" s="138">
        <f t="shared" si="5"/>
        <v>0</v>
      </c>
      <c r="K45" s="138">
        <f t="shared" si="5"/>
        <v>0</v>
      </c>
      <c r="L45" s="138">
        <f t="shared" si="5"/>
        <v>0.40314404799999998</v>
      </c>
      <c r="M45" s="139"/>
    </row>
    <row r="46" spans="1:13" ht="14.25" thickBot="1">
      <c r="A46" s="72"/>
      <c r="B46" s="142" t="str">
        <f>B10</f>
        <v>刺身9/13</v>
      </c>
      <c r="C46" s="143">
        <v>100</v>
      </c>
      <c r="D46" s="144">
        <f>$C46/$C45*D45</f>
        <v>119.22857142857144</v>
      </c>
      <c r="E46" s="144">
        <f t="shared" ref="E46:L46" si="6">$C46/$C45*E45</f>
        <v>18.006428571428572</v>
      </c>
      <c r="F46" s="144">
        <f t="shared" si="6"/>
        <v>3.81</v>
      </c>
      <c r="G46" s="144">
        <f t="shared" si="6"/>
        <v>1.8807142857142856</v>
      </c>
      <c r="H46" s="247">
        <f t="shared" si="6"/>
        <v>102.73214285714286</v>
      </c>
      <c r="I46" s="144">
        <f t="shared" si="6"/>
        <v>0</v>
      </c>
      <c r="J46" s="144">
        <f t="shared" si="6"/>
        <v>0</v>
      </c>
      <c r="K46" s="144">
        <f t="shared" si="6"/>
        <v>0</v>
      </c>
      <c r="L46" s="144">
        <f t="shared" si="6"/>
        <v>0.71990008571428576</v>
      </c>
      <c r="M46" s="144"/>
    </row>
    <row r="47" spans="1:13">
      <c r="A47" s="72"/>
      <c r="B47" s="112"/>
      <c r="C47" s="78"/>
      <c r="D47" s="76"/>
      <c r="E47" s="76"/>
      <c r="F47" s="76"/>
      <c r="G47" s="76"/>
      <c r="H47" s="76"/>
      <c r="I47" s="129"/>
      <c r="J47" s="129"/>
      <c r="K47" s="129"/>
      <c r="L47" s="119"/>
      <c r="M47" s="71"/>
    </row>
    <row r="48" spans="1:13">
      <c r="A48" s="72"/>
      <c r="B48" s="77"/>
      <c r="C48" s="78"/>
      <c r="D48" s="76"/>
      <c r="E48" s="76"/>
      <c r="F48" s="76"/>
      <c r="G48" s="76"/>
      <c r="H48" s="76"/>
      <c r="I48" s="129"/>
      <c r="J48" s="129"/>
      <c r="K48" s="129"/>
      <c r="L48" s="119"/>
      <c r="M48" s="71"/>
    </row>
    <row r="49" spans="5:13">
      <c r="E49" s="14"/>
      <c r="F49" s="14"/>
      <c r="G49" s="14"/>
      <c r="H49" s="14"/>
      <c r="I49" s="14"/>
      <c r="J49" s="14"/>
      <c r="K49" s="14"/>
      <c r="L49" s="14"/>
      <c r="M49" s="88"/>
    </row>
    <row r="50" spans="5:13">
      <c r="E50" s="14"/>
      <c r="F50" s="14"/>
      <c r="G50" s="14"/>
      <c r="H50" s="14"/>
      <c r="I50" s="14"/>
      <c r="J50" s="14"/>
      <c r="K50" s="14"/>
      <c r="L50" s="14"/>
      <c r="M50" s="88"/>
    </row>
    <row r="51" spans="5:13">
      <c r="E51" s="14"/>
      <c r="F51" s="14"/>
      <c r="G51" s="14"/>
      <c r="H51" s="14"/>
      <c r="I51" s="14"/>
      <c r="J51" s="14"/>
      <c r="K51" s="14"/>
      <c r="L51" s="14"/>
      <c r="M51" s="88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1"/>
  <sheetViews>
    <sheetView zoomScale="170" zoomScaleNormal="170" workbookViewId="0">
      <selection sqref="A1:XFD1048576"/>
    </sheetView>
  </sheetViews>
  <sheetFormatPr defaultRowHeight="13.5"/>
  <cols>
    <col min="1" max="1" width="2" customWidth="1"/>
    <col min="2" max="2" width="20.25" bestFit="1" customWidth="1"/>
    <col min="3" max="3" width="12.25" bestFit="1" customWidth="1"/>
    <col min="4" max="4" width="7.5" bestFit="1" customWidth="1"/>
    <col min="5" max="5" width="7.125" style="126" bestFit="1" customWidth="1"/>
    <col min="6" max="6" width="6.5" style="126" bestFit="1" customWidth="1"/>
    <col min="7" max="7" width="7.125" style="126" bestFit="1" customWidth="1"/>
    <col min="8" max="8" width="6.5" style="126" bestFit="1" customWidth="1"/>
    <col min="9" max="11" width="5.5" style="126" bestFit="1" customWidth="1"/>
    <col min="12" max="12" width="7.125" style="126" bestFit="1" customWidth="1"/>
    <col min="13" max="13" width="7.125" bestFit="1" customWidth="1"/>
  </cols>
  <sheetData>
    <row r="1" spans="1:13" ht="41.25" thickBot="1">
      <c r="A1" s="72"/>
      <c r="B1" s="104" t="s">
        <v>0</v>
      </c>
      <c r="C1" s="3" t="s">
        <v>1</v>
      </c>
      <c r="D1" s="3" t="s">
        <v>756</v>
      </c>
      <c r="E1" s="96" t="s">
        <v>757</v>
      </c>
      <c r="F1" s="3" t="s">
        <v>4</v>
      </c>
      <c r="G1" s="96" t="s">
        <v>760</v>
      </c>
      <c r="H1" s="120" t="s">
        <v>1148</v>
      </c>
      <c r="I1" s="131" t="s">
        <v>6</v>
      </c>
      <c r="J1" s="131" t="s">
        <v>7</v>
      </c>
      <c r="K1" s="131" t="s">
        <v>8</v>
      </c>
      <c r="L1" s="122" t="s">
        <v>9</v>
      </c>
      <c r="M1" s="89" t="s">
        <v>746</v>
      </c>
    </row>
    <row r="2" spans="1:13">
      <c r="A2" s="72"/>
      <c r="B2" s="140" t="s">
        <v>759</v>
      </c>
      <c r="C2" s="141">
        <f>C10</f>
        <v>50</v>
      </c>
      <c r="D2" s="138">
        <f>SUM(D12:D44)</f>
        <v>174.16470588235293</v>
      </c>
      <c r="E2" s="138">
        <f t="shared" ref="E2:L2" si="0">SUM(E12:E44)</f>
        <v>8.6731764705882348</v>
      </c>
      <c r="F2" s="138">
        <f t="shared" si="0"/>
        <v>13.506588235294117</v>
      </c>
      <c r="G2" s="138">
        <f t="shared" si="0"/>
        <v>2.8910588235294119</v>
      </c>
      <c r="H2" s="138">
        <f t="shared" si="0"/>
        <v>36</v>
      </c>
      <c r="I2" s="138">
        <f t="shared" si="0"/>
        <v>4.8000000000000001E-2</v>
      </c>
      <c r="J2" s="138">
        <f t="shared" si="0"/>
        <v>0.14399999999999999</v>
      </c>
      <c r="K2" s="138">
        <f t="shared" si="0"/>
        <v>0.20964705882352941</v>
      </c>
      <c r="L2" s="138">
        <f t="shared" si="0"/>
        <v>0.95247058823529407</v>
      </c>
      <c r="M2" s="138"/>
    </row>
    <row r="3" spans="1:13" ht="14.25" thickBot="1">
      <c r="A3" s="72"/>
      <c r="B3" s="142" t="str">
        <f>B10</f>
        <v>焼き肉7/23</v>
      </c>
      <c r="C3" s="143">
        <v>100</v>
      </c>
      <c r="D3" s="144">
        <f>$C$3/$C$2*D2</f>
        <v>348.32941176470587</v>
      </c>
      <c r="E3" s="144">
        <f t="shared" ref="E3:M3" si="1">$C$3/$C$2*E2</f>
        <v>17.34635294117647</v>
      </c>
      <c r="F3" s="144">
        <f t="shared" si="1"/>
        <v>27.013176470588235</v>
      </c>
      <c r="G3" s="144">
        <f t="shared" si="1"/>
        <v>5.7821176470588238</v>
      </c>
      <c r="H3" s="144">
        <f t="shared" si="1"/>
        <v>72</v>
      </c>
      <c r="I3" s="144">
        <f t="shared" si="1"/>
        <v>9.6000000000000002E-2</v>
      </c>
      <c r="J3" s="144">
        <f t="shared" si="1"/>
        <v>0.28799999999999998</v>
      </c>
      <c r="K3" s="144">
        <f t="shared" si="1"/>
        <v>0.41929411764705882</v>
      </c>
      <c r="L3" s="144">
        <f t="shared" si="1"/>
        <v>1.9049411764705881</v>
      </c>
      <c r="M3" s="144">
        <f t="shared" si="1"/>
        <v>0</v>
      </c>
    </row>
    <row r="6" spans="1:13">
      <c r="C6" t="s">
        <v>1152</v>
      </c>
      <c r="D6" s="13">
        <v>1129</v>
      </c>
      <c r="E6" s="13">
        <v>333</v>
      </c>
      <c r="F6" s="13">
        <f>D6-E6</f>
        <v>796</v>
      </c>
    </row>
    <row r="7" spans="1:13">
      <c r="C7" t="s">
        <v>1153</v>
      </c>
      <c r="D7" s="13">
        <v>0</v>
      </c>
      <c r="E7" s="13">
        <v>0</v>
      </c>
      <c r="F7" s="43">
        <f>D7-E7</f>
        <v>0</v>
      </c>
    </row>
    <row r="8" spans="1:13">
      <c r="C8" t="s">
        <v>1154</v>
      </c>
      <c r="D8" s="13">
        <v>0</v>
      </c>
      <c r="E8" s="13">
        <v>0</v>
      </c>
      <c r="F8" s="13">
        <f>D8-E8</f>
        <v>0</v>
      </c>
    </row>
    <row r="9" spans="1:13">
      <c r="B9" s="14" t="s">
        <v>1161</v>
      </c>
    </row>
    <row r="10" spans="1:13">
      <c r="A10" s="72"/>
      <c r="B10" s="130" t="s">
        <v>1185</v>
      </c>
      <c r="C10" s="125">
        <v>50</v>
      </c>
      <c r="D10" s="72"/>
      <c r="E10" s="127"/>
      <c r="F10" s="127"/>
      <c r="G10" s="127"/>
      <c r="H10" s="127"/>
      <c r="I10" s="127"/>
      <c r="J10" s="127"/>
      <c r="K10" s="127"/>
      <c r="L10" s="127"/>
      <c r="M10" s="72"/>
    </row>
    <row r="11" spans="1:13" ht="52.5" customHeight="1">
      <c r="A11" s="72"/>
      <c r="B11" s="104" t="s">
        <v>0</v>
      </c>
      <c r="C11" s="3" t="s">
        <v>1</v>
      </c>
      <c r="D11" s="3" t="s">
        <v>756</v>
      </c>
      <c r="E11" s="96" t="s">
        <v>757</v>
      </c>
      <c r="F11" s="3" t="s">
        <v>4</v>
      </c>
      <c r="G11" s="96" t="s">
        <v>760</v>
      </c>
      <c r="H11" s="120" t="s">
        <v>1148</v>
      </c>
      <c r="I11" s="131" t="s">
        <v>6</v>
      </c>
      <c r="J11" s="131" t="s">
        <v>7</v>
      </c>
      <c r="K11" s="131" t="s">
        <v>8</v>
      </c>
      <c r="L11" s="122" t="s">
        <v>9</v>
      </c>
      <c r="M11" s="89" t="s">
        <v>746</v>
      </c>
    </row>
    <row r="12" spans="1:13">
      <c r="A12" s="72"/>
      <c r="B12" s="81" t="s">
        <v>205</v>
      </c>
      <c r="C12" s="4"/>
      <c r="D12" s="5">
        <f>C12/100*23</f>
        <v>0</v>
      </c>
      <c r="E12" s="11">
        <f>C12/100*1.3</f>
        <v>0</v>
      </c>
      <c r="F12" s="11">
        <f>C12/100*0.2</f>
        <v>0</v>
      </c>
      <c r="G12" s="11">
        <f>C12/100*5.2</f>
        <v>0</v>
      </c>
      <c r="H12" s="70">
        <f t="shared" ref="H12:H13" si="2">C12/100*0</f>
        <v>0</v>
      </c>
      <c r="I12" s="70">
        <f>C12/100*0.4</f>
        <v>0</v>
      </c>
      <c r="J12" s="70">
        <f>C12/100*1.4</f>
        <v>0</v>
      </c>
      <c r="K12" s="70">
        <f>C12/100*1.8</f>
        <v>0</v>
      </c>
      <c r="L12" s="70">
        <f>C12/100*0</f>
        <v>0</v>
      </c>
      <c r="M12" s="3">
        <v>6</v>
      </c>
    </row>
    <row r="13" spans="1:13">
      <c r="A13" s="72"/>
      <c r="B13" s="81" t="s">
        <v>523</v>
      </c>
      <c r="C13" s="4"/>
      <c r="D13" s="5">
        <f>C13/100*37</f>
        <v>0</v>
      </c>
      <c r="E13" s="11">
        <f>C13/100*0.6</f>
        <v>0</v>
      </c>
      <c r="F13" s="11">
        <f>C13/100*0.1</f>
        <v>0</v>
      </c>
      <c r="G13" s="11">
        <f>C13/100*9.1</f>
        <v>0</v>
      </c>
      <c r="H13" s="70">
        <f t="shared" si="2"/>
        <v>0</v>
      </c>
      <c r="I13" s="70">
        <f>C13/100*0.7</f>
        <v>0</v>
      </c>
      <c r="J13" s="70">
        <f>C13/100*2</f>
        <v>0</v>
      </c>
      <c r="K13" s="70">
        <f>C13/100*2.7</f>
        <v>0</v>
      </c>
      <c r="L13" s="70">
        <f>C13/100*0.1</f>
        <v>0</v>
      </c>
      <c r="M13" s="3">
        <v>6</v>
      </c>
    </row>
    <row r="14" spans="1:13">
      <c r="A14" s="72"/>
      <c r="B14" s="104" t="s">
        <v>208</v>
      </c>
      <c r="C14" s="4">
        <v>48</v>
      </c>
      <c r="D14" s="5">
        <f>C14/100*355</f>
        <v>170.4</v>
      </c>
      <c r="E14" s="11">
        <f>C14/100*17.9</f>
        <v>8.5919999999999987</v>
      </c>
      <c r="F14" s="11">
        <f>C14/100*27.7</f>
        <v>13.295999999999999</v>
      </c>
      <c r="G14" s="11">
        <f>C14/100*5.3</f>
        <v>2.544</v>
      </c>
      <c r="H14" s="70">
        <f>C14/100*75</f>
        <v>36</v>
      </c>
      <c r="I14" s="70">
        <f>C14/100*0.1</f>
        <v>4.8000000000000001E-2</v>
      </c>
      <c r="J14" s="70">
        <f>C14/100*0.3</f>
        <v>0.14399999999999999</v>
      </c>
      <c r="K14" s="70">
        <f>C14/100*0.4</f>
        <v>0.192</v>
      </c>
      <c r="L14" s="70">
        <f>C14/100*1.7</f>
        <v>0.81599999999999995</v>
      </c>
      <c r="M14" s="3">
        <v>3</v>
      </c>
    </row>
    <row r="15" spans="1:13">
      <c r="A15" s="72"/>
      <c r="B15" s="104" t="s">
        <v>702</v>
      </c>
      <c r="C15" s="4">
        <v>2</v>
      </c>
      <c r="D15" s="5">
        <f>C15/100*32/0.17</f>
        <v>3.7647058823529411</v>
      </c>
      <c r="E15" s="11">
        <f>C15/100*0.69/0.17</f>
        <v>8.1176470588235281E-2</v>
      </c>
      <c r="F15" s="11">
        <f>C15/100*1.79/0.17</f>
        <v>0.21058823529411763</v>
      </c>
      <c r="G15" s="11">
        <f>C15/100*2.95/0.17</f>
        <v>0.34705882352941175</v>
      </c>
      <c r="H15" s="70">
        <f t="shared" ref="H15:H16" si="3">C15/100*0</f>
        <v>0</v>
      </c>
      <c r="I15" s="70"/>
      <c r="J15" s="70"/>
      <c r="K15" s="70">
        <f>C15/100*0.15/0.17</f>
        <v>1.7647058823529412E-2</v>
      </c>
      <c r="L15" s="11">
        <f>C15/100*1.16/0.17</f>
        <v>0.13647058823529409</v>
      </c>
      <c r="M15" s="19" t="s">
        <v>750</v>
      </c>
    </row>
    <row r="16" spans="1:13">
      <c r="A16" s="72"/>
      <c r="B16" s="104" t="s">
        <v>999</v>
      </c>
      <c r="C16" s="4"/>
      <c r="D16" s="5">
        <f>C16/100*140</f>
        <v>0</v>
      </c>
      <c r="E16" s="11">
        <f>C16/100*4.6</f>
        <v>0</v>
      </c>
      <c r="F16" s="11">
        <f>C16/100*0</f>
        <v>0</v>
      </c>
      <c r="G16" s="11">
        <f>C16/100*27.6</f>
        <v>0</v>
      </c>
      <c r="H16" s="70">
        <f t="shared" si="3"/>
        <v>0</v>
      </c>
      <c r="I16" s="70"/>
      <c r="J16" s="70"/>
      <c r="K16" s="70"/>
      <c r="L16" s="11">
        <f>C16/100*11.185332</f>
        <v>0</v>
      </c>
      <c r="M16" s="19" t="s">
        <v>750</v>
      </c>
    </row>
    <row r="17" spans="1:13">
      <c r="A17" s="72"/>
      <c r="B17" s="81"/>
      <c r="C17" s="4"/>
      <c r="D17" s="5"/>
      <c r="E17" s="11"/>
      <c r="F17" s="11"/>
      <c r="G17" s="11"/>
      <c r="H17" s="70"/>
      <c r="I17" s="70"/>
      <c r="J17" s="70"/>
      <c r="K17" s="70"/>
      <c r="L17" s="70"/>
      <c r="M17" s="3"/>
    </row>
    <row r="18" spans="1:13">
      <c r="A18" s="72"/>
      <c r="B18" s="104"/>
      <c r="C18" s="4"/>
      <c r="D18" s="5"/>
      <c r="E18" s="11"/>
      <c r="F18" s="11"/>
      <c r="G18" s="11"/>
      <c r="H18" s="70"/>
      <c r="I18" s="70"/>
      <c r="J18" s="70"/>
      <c r="K18" s="70"/>
      <c r="L18" s="70"/>
      <c r="M18" s="3"/>
    </row>
    <row r="19" spans="1:13">
      <c r="A19" s="72"/>
      <c r="B19" s="81"/>
      <c r="C19" s="4"/>
      <c r="D19" s="5"/>
      <c r="E19" s="11"/>
      <c r="F19" s="11"/>
      <c r="G19" s="11"/>
      <c r="H19" s="70"/>
      <c r="I19" s="70"/>
      <c r="J19" s="70"/>
      <c r="K19" s="70"/>
      <c r="L19" s="11"/>
      <c r="M19" s="3"/>
    </row>
    <row r="20" spans="1:13">
      <c r="A20" s="72"/>
      <c r="B20" s="104"/>
      <c r="C20" s="4"/>
      <c r="D20" s="5"/>
      <c r="E20" s="11"/>
      <c r="F20" s="11"/>
      <c r="G20" s="11"/>
      <c r="H20" s="70"/>
      <c r="I20" s="70"/>
      <c r="J20" s="70"/>
      <c r="K20" s="70"/>
      <c r="L20" s="11"/>
      <c r="M20" s="3"/>
    </row>
    <row r="21" spans="1:13">
      <c r="A21" s="72"/>
      <c r="B21" s="104"/>
      <c r="C21" s="4"/>
      <c r="D21" s="5"/>
      <c r="E21" s="11"/>
      <c r="F21" s="11"/>
      <c r="G21" s="11"/>
      <c r="H21" s="70"/>
      <c r="I21" s="70"/>
      <c r="J21" s="70"/>
      <c r="K21" s="70"/>
      <c r="L21" s="11"/>
      <c r="M21" s="3"/>
    </row>
    <row r="22" spans="1:13">
      <c r="A22" s="72"/>
      <c r="B22" s="81"/>
      <c r="C22" s="4"/>
      <c r="D22" s="5"/>
      <c r="E22" s="11"/>
      <c r="F22" s="11"/>
      <c r="G22" s="11"/>
      <c r="H22" s="70"/>
      <c r="I22" s="70"/>
      <c r="J22" s="70"/>
      <c r="K22" s="70"/>
      <c r="L22" s="11"/>
      <c r="M22" s="3"/>
    </row>
    <row r="23" spans="1:13">
      <c r="A23" s="72"/>
      <c r="B23" s="81"/>
      <c r="C23" s="4"/>
      <c r="D23" s="5"/>
      <c r="E23" s="11"/>
      <c r="F23" s="11"/>
      <c r="G23" s="11"/>
      <c r="H23" s="70"/>
      <c r="I23" s="70"/>
      <c r="J23" s="70"/>
      <c r="K23" s="70"/>
      <c r="L23" s="11"/>
      <c r="M23" s="3"/>
    </row>
    <row r="24" spans="1:13">
      <c r="A24" s="72"/>
      <c r="B24" s="104"/>
      <c r="C24" s="4"/>
      <c r="D24" s="5"/>
      <c r="E24" s="11"/>
      <c r="F24" s="11"/>
      <c r="G24" s="11"/>
      <c r="H24" s="70"/>
      <c r="I24" s="70"/>
      <c r="J24" s="70"/>
      <c r="K24" s="70"/>
      <c r="L24" s="70"/>
      <c r="M24" s="3"/>
    </row>
    <row r="25" spans="1:13">
      <c r="A25" s="72"/>
      <c r="B25" s="104"/>
      <c r="C25" s="4"/>
      <c r="D25" s="5"/>
      <c r="E25" s="11"/>
      <c r="F25" s="11"/>
      <c r="G25" s="11"/>
      <c r="H25" s="70"/>
      <c r="I25" s="70"/>
      <c r="J25" s="70"/>
      <c r="K25" s="70"/>
      <c r="L25" s="11"/>
      <c r="M25" s="3"/>
    </row>
    <row r="26" spans="1:13">
      <c r="A26" s="72"/>
      <c r="B26" s="81"/>
      <c r="C26" s="4"/>
      <c r="D26" s="5"/>
      <c r="E26" s="11"/>
      <c r="F26" s="11"/>
      <c r="G26" s="11"/>
      <c r="H26" s="70"/>
      <c r="I26" s="70"/>
      <c r="J26" s="70"/>
      <c r="K26" s="70"/>
      <c r="L26" s="11"/>
      <c r="M26" s="3"/>
    </row>
    <row r="27" spans="1:13">
      <c r="A27" s="72"/>
      <c r="B27" s="81"/>
      <c r="C27" s="4"/>
      <c r="D27" s="5"/>
      <c r="E27" s="11"/>
      <c r="F27" s="11"/>
      <c r="G27" s="11"/>
      <c r="H27" s="70"/>
      <c r="I27" s="70"/>
      <c r="J27" s="70"/>
      <c r="K27" s="70"/>
      <c r="L27" s="70"/>
      <c r="M27" s="3"/>
    </row>
    <row r="28" spans="1:13">
      <c r="A28" s="72"/>
      <c r="B28" s="81"/>
      <c r="C28" s="4"/>
      <c r="D28" s="5"/>
      <c r="E28" s="11"/>
      <c r="F28" s="11"/>
      <c r="G28" s="11"/>
      <c r="H28" s="70"/>
      <c r="I28" s="70"/>
      <c r="J28" s="70"/>
      <c r="K28" s="70"/>
      <c r="L28" s="70"/>
      <c r="M28" s="19"/>
    </row>
    <row r="29" spans="1:13">
      <c r="A29" s="72"/>
      <c r="B29" s="104"/>
      <c r="C29" s="4"/>
      <c r="D29" s="5"/>
      <c r="E29" s="11"/>
      <c r="F29" s="11"/>
      <c r="G29" s="11"/>
      <c r="H29" s="70"/>
      <c r="I29" s="70"/>
      <c r="J29" s="70"/>
      <c r="K29" s="70"/>
      <c r="L29" s="11"/>
      <c r="M29" s="19"/>
    </row>
    <row r="30" spans="1:13">
      <c r="A30" s="72"/>
      <c r="B30" s="104"/>
      <c r="C30" s="4"/>
      <c r="D30" s="5"/>
      <c r="E30" s="11"/>
      <c r="F30" s="11"/>
      <c r="G30" s="11"/>
      <c r="H30" s="70"/>
      <c r="I30" s="70"/>
      <c r="J30" s="70"/>
      <c r="K30" s="70"/>
      <c r="L30" s="11"/>
      <c r="M30" s="19"/>
    </row>
    <row r="31" spans="1:13">
      <c r="A31" s="72"/>
      <c r="B31" s="104"/>
      <c r="C31" s="4"/>
      <c r="D31" s="5"/>
      <c r="E31" s="11"/>
      <c r="F31" s="11"/>
      <c r="G31" s="11"/>
      <c r="H31" s="70"/>
      <c r="I31" s="70"/>
      <c r="J31" s="70"/>
      <c r="K31" s="70"/>
      <c r="L31" s="11"/>
      <c r="M31" s="19"/>
    </row>
    <row r="32" spans="1:13">
      <c r="A32" s="72"/>
      <c r="B32" s="104"/>
      <c r="C32" s="4"/>
      <c r="D32" s="5"/>
      <c r="E32" s="11"/>
      <c r="F32" s="11"/>
      <c r="G32" s="11"/>
      <c r="H32" s="70"/>
      <c r="I32" s="70"/>
      <c r="J32" s="70"/>
      <c r="K32" s="70"/>
      <c r="L32" s="11"/>
      <c r="M32" s="19"/>
    </row>
    <row r="33" spans="1:13">
      <c r="A33" s="72"/>
      <c r="B33" s="104"/>
      <c r="C33" s="4"/>
      <c r="D33" s="5"/>
      <c r="E33" s="11"/>
      <c r="F33" s="11"/>
      <c r="G33" s="11"/>
      <c r="H33" s="70"/>
      <c r="I33" s="70"/>
      <c r="J33" s="70"/>
      <c r="K33" s="70"/>
      <c r="L33" s="11"/>
      <c r="M33" s="19"/>
    </row>
    <row r="34" spans="1:13">
      <c r="A34" s="72"/>
      <c r="B34" s="104"/>
      <c r="C34" s="4"/>
      <c r="D34" s="5"/>
      <c r="E34" s="11"/>
      <c r="F34" s="11"/>
      <c r="G34" s="11"/>
      <c r="H34" s="70"/>
      <c r="I34" s="70"/>
      <c r="J34" s="70"/>
      <c r="K34" s="70"/>
      <c r="L34" s="11"/>
      <c r="M34" s="19"/>
    </row>
    <row r="35" spans="1:13">
      <c r="A35" s="72"/>
      <c r="B35" s="104"/>
      <c r="C35" s="4"/>
      <c r="D35" s="5"/>
      <c r="E35" s="11"/>
      <c r="F35" s="11"/>
      <c r="G35" s="11"/>
      <c r="H35" s="70"/>
      <c r="I35" s="70"/>
      <c r="J35" s="70"/>
      <c r="K35" s="70"/>
      <c r="L35" s="11"/>
      <c r="M35" s="19"/>
    </row>
    <row r="36" spans="1:13">
      <c r="A36" s="72"/>
      <c r="B36" s="92"/>
      <c r="C36" s="74"/>
      <c r="D36" s="75"/>
      <c r="E36" s="75"/>
      <c r="F36" s="75"/>
      <c r="G36" s="75"/>
      <c r="H36" s="73"/>
      <c r="I36" s="128"/>
      <c r="J36" s="128"/>
      <c r="K36" s="128"/>
      <c r="L36" s="73"/>
      <c r="M36" s="15"/>
    </row>
    <row r="37" spans="1:13">
      <c r="A37" s="72"/>
      <c r="B37" s="92"/>
      <c r="C37" s="74"/>
      <c r="D37" s="75"/>
      <c r="E37" s="75"/>
      <c r="F37" s="75"/>
      <c r="G37" s="75"/>
      <c r="H37" s="73"/>
      <c r="I37" s="128"/>
      <c r="J37" s="128"/>
      <c r="K37" s="128"/>
      <c r="L37" s="73"/>
      <c r="M37" s="15"/>
    </row>
    <row r="38" spans="1:13">
      <c r="A38" s="72"/>
      <c r="B38" s="92"/>
      <c r="C38" s="74"/>
      <c r="D38" s="75"/>
      <c r="E38" s="75"/>
      <c r="F38" s="75"/>
      <c r="G38" s="75"/>
      <c r="H38" s="73"/>
      <c r="I38" s="128"/>
      <c r="J38" s="128"/>
      <c r="K38" s="128"/>
      <c r="L38" s="73"/>
      <c r="M38" s="15"/>
    </row>
    <row r="39" spans="1:13">
      <c r="A39" s="72"/>
      <c r="B39" s="92"/>
      <c r="C39" s="74"/>
      <c r="D39" s="75"/>
      <c r="E39" s="75"/>
      <c r="F39" s="75"/>
      <c r="G39" s="75"/>
      <c r="H39" s="73"/>
      <c r="I39" s="128"/>
      <c r="J39" s="128"/>
      <c r="K39" s="128"/>
      <c r="L39" s="73"/>
      <c r="M39" s="15"/>
    </row>
    <row r="40" spans="1:13">
      <c r="A40" s="72"/>
      <c r="B40" s="92"/>
      <c r="C40" s="74"/>
      <c r="D40" s="75"/>
      <c r="E40" s="75"/>
      <c r="F40" s="75"/>
      <c r="G40" s="75"/>
      <c r="H40" s="73"/>
      <c r="I40" s="128"/>
      <c r="J40" s="128"/>
      <c r="K40" s="128"/>
      <c r="L40" s="73"/>
      <c r="M40" s="15"/>
    </row>
    <row r="41" spans="1:13">
      <c r="A41" s="72"/>
      <c r="B41" s="92"/>
      <c r="C41" s="74"/>
      <c r="D41" s="75"/>
      <c r="E41" s="75"/>
      <c r="F41" s="75"/>
      <c r="G41" s="75"/>
      <c r="H41" s="73"/>
      <c r="I41" s="128"/>
      <c r="J41" s="128"/>
      <c r="K41" s="128"/>
      <c r="L41" s="73"/>
      <c r="M41" s="15"/>
    </row>
    <row r="42" spans="1:13">
      <c r="A42" s="72"/>
      <c r="B42" s="92"/>
      <c r="C42" s="74"/>
      <c r="D42" s="75"/>
      <c r="E42" s="75"/>
      <c r="F42" s="75"/>
      <c r="G42" s="75"/>
      <c r="H42" s="73"/>
      <c r="I42" s="128"/>
      <c r="J42" s="128"/>
      <c r="K42" s="128"/>
      <c r="L42" s="73"/>
      <c r="M42" s="15"/>
    </row>
    <row r="43" spans="1:13">
      <c r="A43" s="72"/>
      <c r="B43" s="92"/>
      <c r="C43" s="74"/>
      <c r="D43" s="75"/>
      <c r="E43" s="75"/>
      <c r="F43" s="75"/>
      <c r="G43" s="75"/>
      <c r="H43" s="73"/>
      <c r="I43" s="128"/>
      <c r="J43" s="128"/>
      <c r="K43" s="128"/>
      <c r="L43" s="73"/>
      <c r="M43" s="15"/>
    </row>
    <row r="44" spans="1:13" ht="14.25" thickBot="1">
      <c r="A44" s="72"/>
      <c r="B44" s="93"/>
      <c r="C44" s="134"/>
      <c r="D44" s="135"/>
      <c r="E44" s="135"/>
      <c r="F44" s="135"/>
      <c r="G44" s="135"/>
      <c r="H44" s="137"/>
      <c r="I44" s="136"/>
      <c r="J44" s="136"/>
      <c r="K44" s="136"/>
      <c r="L44" s="137"/>
      <c r="M44" s="91"/>
    </row>
    <row r="45" spans="1:13">
      <c r="A45" s="72"/>
      <c r="B45" s="140" t="s">
        <v>759</v>
      </c>
      <c r="C45" s="141">
        <f>C10</f>
        <v>50</v>
      </c>
      <c r="D45" s="138">
        <f>SUM(D12:D44)</f>
        <v>174.16470588235293</v>
      </c>
      <c r="E45" s="138">
        <f t="shared" ref="E45:L45" si="4">SUM(E12:E44)</f>
        <v>8.6731764705882348</v>
      </c>
      <c r="F45" s="138">
        <f t="shared" si="4"/>
        <v>13.506588235294117</v>
      </c>
      <c r="G45" s="138">
        <f t="shared" si="4"/>
        <v>2.8910588235294119</v>
      </c>
      <c r="H45" s="176">
        <f t="shared" si="4"/>
        <v>36</v>
      </c>
      <c r="I45" s="138">
        <f t="shared" si="4"/>
        <v>4.8000000000000001E-2</v>
      </c>
      <c r="J45" s="138">
        <f t="shared" si="4"/>
        <v>0.14399999999999999</v>
      </c>
      <c r="K45" s="138">
        <f t="shared" si="4"/>
        <v>0.20964705882352941</v>
      </c>
      <c r="L45" s="138">
        <f t="shared" si="4"/>
        <v>0.95247058823529407</v>
      </c>
      <c r="M45" s="139"/>
    </row>
    <row r="46" spans="1:13" ht="14.25" thickBot="1">
      <c r="A46" s="72"/>
      <c r="B46" s="142" t="str">
        <f>B10</f>
        <v>焼き肉7/23</v>
      </c>
      <c r="C46" s="143">
        <v>100</v>
      </c>
      <c r="D46" s="144">
        <f>$C46/$C45*D45</f>
        <v>348.32941176470587</v>
      </c>
      <c r="E46" s="144">
        <f t="shared" ref="E46:L46" si="5">$C46/$C45*E45</f>
        <v>17.34635294117647</v>
      </c>
      <c r="F46" s="144">
        <f t="shared" si="5"/>
        <v>27.013176470588235</v>
      </c>
      <c r="G46" s="144">
        <f t="shared" si="5"/>
        <v>5.7821176470588238</v>
      </c>
      <c r="H46" s="247">
        <f t="shared" si="5"/>
        <v>72</v>
      </c>
      <c r="I46" s="144">
        <f t="shared" si="5"/>
        <v>9.6000000000000002E-2</v>
      </c>
      <c r="J46" s="144">
        <f t="shared" si="5"/>
        <v>0.28799999999999998</v>
      </c>
      <c r="K46" s="144">
        <f t="shared" si="5"/>
        <v>0.41929411764705882</v>
      </c>
      <c r="L46" s="144">
        <f t="shared" si="5"/>
        <v>1.9049411764705881</v>
      </c>
      <c r="M46" s="144"/>
    </row>
    <row r="47" spans="1:13">
      <c r="A47" s="72"/>
      <c r="B47" s="112"/>
      <c r="C47" s="78"/>
      <c r="D47" s="76"/>
      <c r="E47" s="76"/>
      <c r="F47" s="76"/>
      <c r="G47" s="76"/>
      <c r="H47" s="76"/>
      <c r="I47" s="129"/>
      <c r="J47" s="129"/>
      <c r="K47" s="129"/>
      <c r="L47" s="119"/>
      <c r="M47" s="71"/>
    </row>
    <row r="48" spans="1:13">
      <c r="A48" s="72"/>
      <c r="B48" s="77"/>
      <c r="C48" s="78"/>
      <c r="D48" s="76"/>
      <c r="E48" s="76"/>
      <c r="F48" s="76"/>
      <c r="G48" s="76"/>
      <c r="H48" s="76"/>
      <c r="I48" s="129"/>
      <c r="J48" s="129"/>
      <c r="K48" s="129"/>
      <c r="L48" s="119"/>
      <c r="M48" s="71"/>
    </row>
    <row r="49" spans="5:13">
      <c r="E49" s="14"/>
      <c r="F49" s="14"/>
      <c r="G49" s="14"/>
      <c r="H49" s="14"/>
      <c r="I49" s="14"/>
      <c r="J49" s="14"/>
      <c r="K49" s="14"/>
      <c r="L49" s="14"/>
      <c r="M49" s="88"/>
    </row>
    <row r="50" spans="5:13">
      <c r="E50" s="14"/>
      <c r="F50" s="14"/>
      <c r="G50" s="14"/>
      <c r="H50" s="14"/>
      <c r="I50" s="14"/>
      <c r="J50" s="14"/>
      <c r="K50" s="14"/>
      <c r="L50" s="14"/>
      <c r="M50" s="88"/>
    </row>
    <row r="51" spans="5:13">
      <c r="E51" s="14"/>
      <c r="F51" s="14"/>
      <c r="G51" s="14"/>
      <c r="H51" s="14"/>
      <c r="I51" s="14"/>
      <c r="J51" s="14"/>
      <c r="K51" s="14"/>
      <c r="L51" s="14"/>
      <c r="M51" s="88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1"/>
  <sheetViews>
    <sheetView zoomScale="160" zoomScaleNormal="160" workbookViewId="0">
      <selection sqref="A1:XFD1048576"/>
    </sheetView>
  </sheetViews>
  <sheetFormatPr defaultRowHeight="13.5"/>
  <cols>
    <col min="1" max="1" width="5.875" customWidth="1"/>
    <col min="2" max="2" width="26.625" bestFit="1" customWidth="1"/>
    <col min="3" max="3" width="12.25" bestFit="1" customWidth="1"/>
    <col min="4" max="4" width="7.5" bestFit="1" customWidth="1"/>
    <col min="5" max="5" width="7.125" style="126" bestFit="1" customWidth="1"/>
    <col min="6" max="6" width="6.375" style="126" bestFit="1" customWidth="1"/>
    <col min="7" max="7" width="6.5" style="126" bestFit="1" customWidth="1"/>
    <col min="8" max="8" width="9" style="126" bestFit="1" customWidth="1"/>
    <col min="9" max="11" width="5.5" style="126" bestFit="1" customWidth="1"/>
    <col min="12" max="12" width="7.125" style="126" bestFit="1" customWidth="1"/>
    <col min="13" max="13" width="7.125" bestFit="1" customWidth="1"/>
  </cols>
  <sheetData>
    <row r="1" spans="1:13" ht="27.75" thickBot="1">
      <c r="A1" s="72"/>
      <c r="B1" s="104" t="s">
        <v>0</v>
      </c>
      <c r="C1" s="3" t="s">
        <v>1</v>
      </c>
      <c r="D1" s="3" t="s">
        <v>756</v>
      </c>
      <c r="E1" s="96" t="s">
        <v>757</v>
      </c>
      <c r="F1" s="3" t="s">
        <v>4</v>
      </c>
      <c r="G1" s="96" t="s">
        <v>760</v>
      </c>
      <c r="H1" s="120" t="s">
        <v>1148</v>
      </c>
      <c r="I1" s="131" t="s">
        <v>6</v>
      </c>
      <c r="J1" s="131" t="s">
        <v>7</v>
      </c>
      <c r="K1" s="131" t="s">
        <v>8</v>
      </c>
      <c r="L1" s="122" t="s">
        <v>9</v>
      </c>
      <c r="M1" s="89" t="s">
        <v>746</v>
      </c>
    </row>
    <row r="2" spans="1:13">
      <c r="A2" s="72"/>
      <c r="B2" s="140" t="s">
        <v>759</v>
      </c>
      <c r="C2" s="141">
        <f>C10</f>
        <v>522</v>
      </c>
      <c r="D2" s="138">
        <f>SUM(D12:D44)</f>
        <v>157.84333333333336</v>
      </c>
      <c r="E2" s="138">
        <f t="shared" ref="E2:L2" si="0">SUM(E12:E44)</f>
        <v>5.9950000000000001</v>
      </c>
      <c r="F2" s="138">
        <f t="shared" si="0"/>
        <v>0.59600000000000009</v>
      </c>
      <c r="G2" s="138">
        <f t="shared" si="0"/>
        <v>41.693333333333335</v>
      </c>
      <c r="H2" s="138">
        <f t="shared" si="0"/>
        <v>0</v>
      </c>
      <c r="I2" s="138">
        <f t="shared" si="0"/>
        <v>0.55199999999999994</v>
      </c>
      <c r="J2" s="138">
        <f t="shared" si="0"/>
        <v>2.484</v>
      </c>
      <c r="K2" s="138">
        <f t="shared" si="0"/>
        <v>8.7960000000000012</v>
      </c>
      <c r="L2" s="138">
        <f t="shared" si="0"/>
        <v>3.0412074033333338</v>
      </c>
      <c r="M2" s="138"/>
    </row>
    <row r="3" spans="1:13" ht="14.25" thickBot="1">
      <c r="A3" s="72"/>
      <c r="B3" s="142" t="str">
        <f>B10</f>
        <v>酢の物（わかめ・キュウリ）9/5</v>
      </c>
      <c r="C3" s="143">
        <v>100</v>
      </c>
      <c r="D3" s="144">
        <f>$C$3/$C$2*D2</f>
        <v>30.2381864623244</v>
      </c>
      <c r="E3" s="144">
        <f t="shared" ref="E3:L3" si="1">$C$3/$C$2*E2</f>
        <v>1.1484674329501916</v>
      </c>
      <c r="F3" s="144">
        <f t="shared" si="1"/>
        <v>0.11417624521072799</v>
      </c>
      <c r="G3" s="144">
        <f t="shared" si="1"/>
        <v>7.9872286079182633</v>
      </c>
      <c r="H3" s="144">
        <f t="shared" si="1"/>
        <v>0</v>
      </c>
      <c r="I3" s="144">
        <f t="shared" si="1"/>
        <v>0.10574712643678159</v>
      </c>
      <c r="J3" s="144">
        <f t="shared" si="1"/>
        <v>0.47586206896551725</v>
      </c>
      <c r="K3" s="144">
        <f t="shared" si="1"/>
        <v>1.685057471264368</v>
      </c>
      <c r="L3" s="144">
        <f t="shared" si="1"/>
        <v>0.58260678224776508</v>
      </c>
      <c r="M3" s="144"/>
    </row>
    <row r="6" spans="1:13">
      <c r="C6" t="s">
        <v>1152</v>
      </c>
      <c r="D6" s="13">
        <v>1129</v>
      </c>
      <c r="E6" s="13">
        <v>333</v>
      </c>
      <c r="F6" s="13">
        <f>D6-E6</f>
        <v>796</v>
      </c>
    </row>
    <row r="7" spans="1:13">
      <c r="C7" t="s">
        <v>1153</v>
      </c>
      <c r="D7" s="13">
        <v>0</v>
      </c>
      <c r="E7" s="13">
        <v>0</v>
      </c>
      <c r="F7" s="43">
        <f>D7-E7</f>
        <v>0</v>
      </c>
    </row>
    <row r="8" spans="1:13">
      <c r="C8" t="s">
        <v>1154</v>
      </c>
      <c r="D8" s="13">
        <v>0</v>
      </c>
      <c r="E8" s="13">
        <v>0</v>
      </c>
      <c r="F8" s="13">
        <f>D8-E8</f>
        <v>0</v>
      </c>
    </row>
    <row r="9" spans="1:13">
      <c r="B9" s="14" t="s">
        <v>1162</v>
      </c>
    </row>
    <row r="10" spans="1:13">
      <c r="A10" s="72"/>
      <c r="B10" s="130" t="s">
        <v>1251</v>
      </c>
      <c r="C10" s="125">
        <v>522</v>
      </c>
      <c r="D10" s="72"/>
      <c r="E10" s="127"/>
      <c r="F10" s="127"/>
      <c r="G10" s="127"/>
      <c r="H10" s="127"/>
      <c r="I10" s="127"/>
      <c r="J10" s="127"/>
      <c r="K10" s="127"/>
      <c r="L10" s="127"/>
      <c r="M10" s="72"/>
    </row>
    <row r="11" spans="1:13" ht="54" customHeight="1">
      <c r="A11" s="72"/>
      <c r="B11" s="104" t="s">
        <v>0</v>
      </c>
      <c r="C11" s="3" t="s">
        <v>1</v>
      </c>
      <c r="D11" s="3" t="s">
        <v>756</v>
      </c>
      <c r="E11" s="96" t="s">
        <v>757</v>
      </c>
      <c r="F11" s="3" t="s">
        <v>4</v>
      </c>
      <c r="G11" s="96" t="s">
        <v>760</v>
      </c>
      <c r="H11" s="120" t="s">
        <v>1148</v>
      </c>
      <c r="I11" s="131" t="s">
        <v>6</v>
      </c>
      <c r="J11" s="131" t="s">
        <v>7</v>
      </c>
      <c r="K11" s="131" t="s">
        <v>8</v>
      </c>
      <c r="L11" s="122" t="s">
        <v>9</v>
      </c>
      <c r="M11" s="89" t="s">
        <v>746</v>
      </c>
    </row>
    <row r="12" spans="1:13">
      <c r="A12" s="72"/>
      <c r="B12" s="81" t="s">
        <v>218</v>
      </c>
      <c r="C12" s="4">
        <v>276</v>
      </c>
      <c r="D12" s="5">
        <f>C12/100*14</f>
        <v>38.64</v>
      </c>
      <c r="E12" s="11">
        <f>C12/100*1</f>
        <v>2.76</v>
      </c>
      <c r="F12" s="11">
        <f>C12/100*0.1</f>
        <v>0.27599999999999997</v>
      </c>
      <c r="G12" s="11">
        <f>C12/100*3</f>
        <v>8.2799999999999994</v>
      </c>
      <c r="H12" s="70">
        <f>C12/100*0</f>
        <v>0</v>
      </c>
      <c r="I12" s="70">
        <f>C12/100*0.2</f>
        <v>0.55199999999999994</v>
      </c>
      <c r="J12" s="70">
        <f>C12/100*0.9</f>
        <v>2.484</v>
      </c>
      <c r="K12" s="70">
        <f>C12/100*1.1</f>
        <v>3.036</v>
      </c>
      <c r="L12" s="70">
        <f>C12/100*0</f>
        <v>0</v>
      </c>
      <c r="M12" s="3">
        <v>6</v>
      </c>
    </row>
    <row r="13" spans="1:13">
      <c r="A13" s="72"/>
      <c r="B13" s="81" t="s">
        <v>943</v>
      </c>
      <c r="C13" s="4">
        <v>160</v>
      </c>
      <c r="D13" s="5">
        <f>C13/100*16</f>
        <v>25.6</v>
      </c>
      <c r="E13" s="11">
        <f>C13/100*1.9</f>
        <v>3.04</v>
      </c>
      <c r="F13" s="11">
        <f>C13/100*0.2</f>
        <v>0.32000000000000006</v>
      </c>
      <c r="G13" s="11">
        <f>C13/100*5.6</f>
        <v>8.9599999999999991</v>
      </c>
      <c r="H13" s="70">
        <f t="shared" ref="H13" si="2">C13/100*0</f>
        <v>0</v>
      </c>
      <c r="I13" s="70"/>
      <c r="J13" s="70"/>
      <c r="K13" s="70">
        <f>C13/100*3.6</f>
        <v>5.7600000000000007</v>
      </c>
      <c r="L13" s="11">
        <f>C13/100*1.5</f>
        <v>2.4000000000000004</v>
      </c>
      <c r="M13" s="3">
        <v>6</v>
      </c>
    </row>
    <row r="14" spans="1:13">
      <c r="A14" s="72"/>
      <c r="B14" s="103" t="s">
        <v>366</v>
      </c>
      <c r="C14" s="4">
        <v>20</v>
      </c>
      <c r="D14" s="5">
        <f>C14/100*384</f>
        <v>76.800000000000011</v>
      </c>
      <c r="E14" s="11">
        <f>C14/100*0</f>
        <v>0</v>
      </c>
      <c r="F14" s="11">
        <f>C14/100*0</f>
        <v>0</v>
      </c>
      <c r="G14" s="11">
        <f>C14/100*99.2</f>
        <v>19.840000000000003</v>
      </c>
      <c r="H14" s="70">
        <f t="shared" ref="H14:H15" si="3">C14/100*0</f>
        <v>0</v>
      </c>
      <c r="I14" s="70"/>
      <c r="J14" s="70"/>
      <c r="K14" s="70">
        <f>C14/100*0</f>
        <v>0</v>
      </c>
      <c r="L14" s="70">
        <f>C14/100*0.0025421</f>
        <v>5.0841999999999999E-4</v>
      </c>
      <c r="M14" s="19" t="s">
        <v>750</v>
      </c>
    </row>
    <row r="15" spans="1:13">
      <c r="A15" s="72"/>
      <c r="B15" s="81" t="s">
        <v>1252</v>
      </c>
      <c r="C15" s="4">
        <v>5</v>
      </c>
      <c r="D15" s="5">
        <f>C15/100*27</f>
        <v>1.35</v>
      </c>
      <c r="E15" s="11">
        <f>C15/100*3.9</f>
        <v>0.19500000000000001</v>
      </c>
      <c r="F15" s="11">
        <f>C15/100*0</f>
        <v>0</v>
      </c>
      <c r="G15" s="11">
        <f>C15/100*2.8</f>
        <v>0.13999999999999999</v>
      </c>
      <c r="H15" s="70">
        <f t="shared" si="3"/>
        <v>0</v>
      </c>
      <c r="I15" s="70"/>
      <c r="J15" s="70"/>
      <c r="K15" s="70"/>
      <c r="L15" s="11">
        <f>C15/100*12.710605</f>
        <v>0.63553024999999996</v>
      </c>
      <c r="M15" s="3" t="s">
        <v>747</v>
      </c>
    </row>
    <row r="16" spans="1:13">
      <c r="A16" s="72"/>
      <c r="B16" s="104" t="s">
        <v>379</v>
      </c>
      <c r="C16" s="4">
        <v>61</v>
      </c>
      <c r="D16" s="5">
        <f>C16/100*3.8/0.15</f>
        <v>15.453333333333335</v>
      </c>
      <c r="E16" s="11">
        <f>C16/100*0/0.15</f>
        <v>0</v>
      </c>
      <c r="F16" s="11">
        <f>C16/100*0/0.15</f>
        <v>0</v>
      </c>
      <c r="G16" s="11">
        <f>C16/100*1.1/0.15</f>
        <v>4.4733333333333336</v>
      </c>
      <c r="H16" s="70">
        <f t="shared" ref="H16" si="4">C16/100*0</f>
        <v>0</v>
      </c>
      <c r="I16" s="70"/>
      <c r="J16" s="70"/>
      <c r="K16" s="70"/>
      <c r="L16" s="70">
        <f>C16/100*0.001271/0.15</f>
        <v>5.1687333333333332E-3</v>
      </c>
      <c r="M16" s="19" t="s">
        <v>750</v>
      </c>
    </row>
    <row r="17" spans="1:13">
      <c r="A17" s="72"/>
      <c r="B17" s="104"/>
      <c r="C17" s="4"/>
      <c r="D17" s="5"/>
      <c r="E17" s="11"/>
      <c r="F17" s="11"/>
      <c r="G17" s="11"/>
      <c r="H17" s="70"/>
      <c r="I17" s="70"/>
      <c r="J17" s="70"/>
      <c r="K17" s="70"/>
      <c r="L17" s="11"/>
      <c r="M17" s="3"/>
    </row>
    <row r="18" spans="1:13">
      <c r="A18" s="72"/>
      <c r="B18" s="103"/>
      <c r="C18" s="4"/>
      <c r="D18" s="5"/>
      <c r="E18" s="11"/>
      <c r="F18" s="11"/>
      <c r="G18" s="11"/>
      <c r="H18" s="70"/>
      <c r="I18" s="70"/>
      <c r="J18" s="70"/>
      <c r="K18" s="70"/>
      <c r="L18" s="70"/>
      <c r="M18" s="3"/>
    </row>
    <row r="19" spans="1:13">
      <c r="A19" s="72"/>
      <c r="B19" s="81"/>
      <c r="C19" s="4"/>
      <c r="D19" s="5"/>
      <c r="E19" s="11"/>
      <c r="F19" s="11"/>
      <c r="G19" s="11"/>
      <c r="H19" s="70"/>
      <c r="I19" s="70"/>
      <c r="J19" s="70"/>
      <c r="K19" s="70"/>
      <c r="L19" s="70"/>
      <c r="M19" s="19"/>
    </row>
    <row r="20" spans="1:13">
      <c r="A20" s="72"/>
      <c r="B20" s="104" t="s">
        <v>347</v>
      </c>
      <c r="C20" s="4"/>
      <c r="D20" s="5">
        <f>C20/100*18</f>
        <v>0</v>
      </c>
      <c r="E20" s="11">
        <f>C20/100*3</f>
        <v>0</v>
      </c>
      <c r="F20" s="11">
        <f>C20/100*0.4</f>
        <v>0</v>
      </c>
      <c r="G20" s="11">
        <f>C20/100*4.9</f>
        <v>0</v>
      </c>
      <c r="H20" s="70">
        <f t="shared" ref="H20" si="5">C20/100*0</f>
        <v>0</v>
      </c>
      <c r="I20" s="70">
        <f>C20/100*0.5</f>
        <v>0</v>
      </c>
      <c r="J20" s="70">
        <f>C20/100*3</f>
        <v>0</v>
      </c>
      <c r="K20" s="70">
        <f>C20/100*3.5</f>
        <v>0</v>
      </c>
      <c r="L20" s="70">
        <f>C20/100*0</f>
        <v>0</v>
      </c>
      <c r="M20" s="3">
        <v>6</v>
      </c>
    </row>
    <row r="21" spans="1:13">
      <c r="A21" s="72"/>
      <c r="B21" s="81"/>
      <c r="C21" s="4"/>
      <c r="D21" s="5"/>
      <c r="E21" s="11"/>
      <c r="F21" s="11"/>
      <c r="G21" s="11"/>
      <c r="H21" s="70"/>
      <c r="I21" s="70"/>
      <c r="J21" s="70"/>
      <c r="K21" s="70"/>
      <c r="L21" s="70"/>
      <c r="M21" s="3"/>
    </row>
    <row r="22" spans="1:13">
      <c r="A22" s="72"/>
      <c r="B22" s="81" t="s">
        <v>205</v>
      </c>
      <c r="C22" s="4"/>
      <c r="D22" s="5">
        <f>C22/100*23</f>
        <v>0</v>
      </c>
      <c r="E22" s="11">
        <f>C22/100*1.3</f>
        <v>0</v>
      </c>
      <c r="F22" s="11">
        <f>C22/100*0.2</f>
        <v>0</v>
      </c>
      <c r="G22" s="11">
        <f>C22/100*5.2</f>
        <v>0</v>
      </c>
      <c r="H22" s="70">
        <f t="shared" ref="H22:H23" si="6">C22/100*0</f>
        <v>0</v>
      </c>
      <c r="I22" s="70">
        <f>C22/100*0.4</f>
        <v>0</v>
      </c>
      <c r="J22" s="70">
        <f>C22/100*1.4</f>
        <v>0</v>
      </c>
      <c r="K22" s="70">
        <f>C22/100*1.8</f>
        <v>0</v>
      </c>
      <c r="L22" s="70">
        <f>C22/100*0</f>
        <v>0</v>
      </c>
      <c r="M22" s="3">
        <v>6</v>
      </c>
    </row>
    <row r="23" spans="1:13">
      <c r="A23" s="72"/>
      <c r="B23" s="81" t="s">
        <v>523</v>
      </c>
      <c r="C23" s="4"/>
      <c r="D23" s="5">
        <f>C23/100*37</f>
        <v>0</v>
      </c>
      <c r="E23" s="11">
        <f>C23/100*0.6</f>
        <v>0</v>
      </c>
      <c r="F23" s="11">
        <f>C23/100*0.1</f>
        <v>0</v>
      </c>
      <c r="G23" s="11">
        <f>C23/100*9.1</f>
        <v>0</v>
      </c>
      <c r="H23" s="70">
        <f t="shared" si="6"/>
        <v>0</v>
      </c>
      <c r="I23" s="70">
        <f>C23/100*0.7</f>
        <v>0</v>
      </c>
      <c r="J23" s="70">
        <f>C23/100*2</f>
        <v>0</v>
      </c>
      <c r="K23" s="70">
        <f>C23/100*2.7</f>
        <v>0</v>
      </c>
      <c r="L23" s="70">
        <f>C23/100*0.1</f>
        <v>0</v>
      </c>
      <c r="M23" s="3">
        <v>6</v>
      </c>
    </row>
    <row r="24" spans="1:13">
      <c r="A24" s="72"/>
      <c r="B24" s="104" t="s">
        <v>99</v>
      </c>
      <c r="C24" s="4"/>
      <c r="D24" s="5">
        <f>C24/100*97</f>
        <v>0</v>
      </c>
      <c r="E24" s="11">
        <f>C24/100*21.6</f>
        <v>0</v>
      </c>
      <c r="F24" s="11">
        <f>C24/100*0.6</f>
        <v>0</v>
      </c>
      <c r="G24" s="11">
        <f>C24/100*0</f>
        <v>0</v>
      </c>
      <c r="H24" s="70">
        <f>C24/100*170</f>
        <v>0</v>
      </c>
      <c r="I24" s="70"/>
      <c r="J24" s="70"/>
      <c r="K24" s="70"/>
      <c r="L24" s="70">
        <f>C24/100*0.4</f>
        <v>0</v>
      </c>
      <c r="M24" s="3">
        <v>3</v>
      </c>
    </row>
    <row r="25" spans="1:13">
      <c r="A25" s="72"/>
      <c r="B25" s="104" t="s">
        <v>1195</v>
      </c>
      <c r="C25" s="4"/>
      <c r="D25" s="5">
        <f>C25/100*65/0.54</f>
        <v>0</v>
      </c>
      <c r="E25" s="11">
        <f>C25/100*12.5/0.54</f>
        <v>0</v>
      </c>
      <c r="F25" s="11">
        <f>C25/100*1.1/0.54</f>
        <v>0</v>
      </c>
      <c r="G25" s="11">
        <f>C25/100*1.1/0.54</f>
        <v>0</v>
      </c>
      <c r="H25" s="70">
        <f>C25/100*3.896/0.54</f>
        <v>0</v>
      </c>
      <c r="I25" s="70"/>
      <c r="J25" s="70"/>
      <c r="K25" s="70"/>
      <c r="L25" s="11">
        <f>C25/100*1.5023935/0.54</f>
        <v>0</v>
      </c>
      <c r="M25" s="3">
        <v>3</v>
      </c>
    </row>
    <row r="26" spans="1:13">
      <c r="A26" s="72"/>
      <c r="B26" s="81" t="s">
        <v>1119</v>
      </c>
      <c r="C26" s="4"/>
      <c r="D26" s="5">
        <f>C26/100*135</f>
        <v>0</v>
      </c>
      <c r="E26" s="11">
        <f>C26/100*9.8</f>
        <v>0</v>
      </c>
      <c r="F26" s="11">
        <f>C26/100*3.1</f>
        <v>0</v>
      </c>
      <c r="G26" s="11">
        <f>C26/100*16.9</f>
        <v>0</v>
      </c>
      <c r="H26" s="70">
        <f>C26/100*20</f>
        <v>0</v>
      </c>
      <c r="I26" s="70"/>
      <c r="J26" s="70"/>
      <c r="K26" s="70"/>
      <c r="L26" s="11">
        <f>C26/100*2.0947077</f>
        <v>0</v>
      </c>
      <c r="M26" s="3">
        <v>3</v>
      </c>
    </row>
    <row r="27" spans="1:13">
      <c r="A27" s="72"/>
      <c r="B27" s="103"/>
      <c r="C27" s="4"/>
      <c r="D27" s="5"/>
      <c r="E27" s="11"/>
      <c r="F27" s="11"/>
      <c r="G27" s="11"/>
      <c r="H27" s="70"/>
      <c r="I27" s="70"/>
      <c r="J27" s="70"/>
      <c r="K27" s="70"/>
      <c r="L27" s="70"/>
      <c r="M27" s="19"/>
    </row>
    <row r="28" spans="1:13">
      <c r="A28" s="72"/>
      <c r="B28" s="81" t="s">
        <v>552</v>
      </c>
      <c r="C28" s="4"/>
      <c r="D28" s="5">
        <f>C28/100*22</f>
        <v>0</v>
      </c>
      <c r="E28" s="11">
        <f>C28/100*0.9</f>
        <v>0</v>
      </c>
      <c r="F28" s="11">
        <f>C28/100*0.2</f>
        <v>0</v>
      </c>
      <c r="G28" s="11">
        <f>C28/100*5.1</f>
        <v>0</v>
      </c>
      <c r="H28" s="70">
        <f t="shared" ref="H28:H29" si="7">C28/100*0</f>
        <v>0</v>
      </c>
      <c r="I28" s="70">
        <f>C28/100*0.6</f>
        <v>0</v>
      </c>
      <c r="J28" s="70">
        <f>C28/100*1.7</f>
        <v>0</v>
      </c>
      <c r="K28" s="70">
        <f>C28/100*2.3</f>
        <v>0</v>
      </c>
      <c r="L28" s="70">
        <f>C28/100*0</f>
        <v>0</v>
      </c>
      <c r="M28" s="19">
        <v>6</v>
      </c>
    </row>
    <row r="29" spans="1:13">
      <c r="A29" s="72"/>
      <c r="B29" s="104" t="s">
        <v>999</v>
      </c>
      <c r="C29" s="4"/>
      <c r="D29" s="5">
        <f>C29/100*140</f>
        <v>0</v>
      </c>
      <c r="E29" s="11">
        <f>C29/100*4.6</f>
        <v>0</v>
      </c>
      <c r="F29" s="11">
        <f>C29/100*0</f>
        <v>0</v>
      </c>
      <c r="G29" s="11">
        <f>C29/100*27.6</f>
        <v>0</v>
      </c>
      <c r="H29" s="70">
        <f t="shared" si="7"/>
        <v>0</v>
      </c>
      <c r="I29" s="70"/>
      <c r="J29" s="70"/>
      <c r="K29" s="70"/>
      <c r="L29" s="11">
        <f>C29/100*11.185332</f>
        <v>0</v>
      </c>
      <c r="M29" s="19" t="s">
        <v>750</v>
      </c>
    </row>
    <row r="30" spans="1:13">
      <c r="A30" s="72"/>
      <c r="B30" s="104" t="s">
        <v>336</v>
      </c>
      <c r="C30" s="4"/>
      <c r="D30" s="5">
        <f>C30/100*921</f>
        <v>0</v>
      </c>
      <c r="E30" s="11">
        <f>C30/100*0</f>
        <v>0</v>
      </c>
      <c r="F30" s="11">
        <f>C30/100*100</f>
        <v>0</v>
      </c>
      <c r="G30" s="11">
        <f>C30/100*0</f>
        <v>0</v>
      </c>
      <c r="H30" s="70">
        <f t="shared" ref="H30:H31" si="8">C30/100*0</f>
        <v>0</v>
      </c>
      <c r="I30" s="70"/>
      <c r="J30" s="70"/>
      <c r="K30" s="70"/>
      <c r="L30" s="70"/>
      <c r="M30" s="3">
        <v>5</v>
      </c>
    </row>
    <row r="31" spans="1:13">
      <c r="A31" s="72"/>
      <c r="B31" s="104" t="s">
        <v>204</v>
      </c>
      <c r="C31" s="4"/>
      <c r="D31" s="5">
        <f>C31/100*126/0.14</f>
        <v>0</v>
      </c>
      <c r="E31" s="11">
        <f>C31/100*0/0.14</f>
        <v>0</v>
      </c>
      <c r="F31" s="11">
        <f>C31/100*14/0.14</f>
        <v>0</v>
      </c>
      <c r="G31" s="11">
        <f>C31/100*0/0.14</f>
        <v>0</v>
      </c>
      <c r="H31" s="70">
        <f t="shared" si="8"/>
        <v>0</v>
      </c>
      <c r="I31" s="70"/>
      <c r="J31" s="70"/>
      <c r="K31" s="70"/>
      <c r="L31" s="11"/>
      <c r="M31" s="3">
        <v>5</v>
      </c>
    </row>
    <row r="32" spans="1:13">
      <c r="A32" s="72"/>
      <c r="B32" s="81" t="s">
        <v>448</v>
      </c>
      <c r="C32" s="4"/>
      <c r="D32" s="5">
        <f>C32/100*151</f>
        <v>0</v>
      </c>
      <c r="E32" s="11">
        <f>C32/100*12.3</f>
        <v>0</v>
      </c>
      <c r="F32" s="11">
        <f>C32/100*10.3</f>
        <v>0</v>
      </c>
      <c r="G32" s="11">
        <f>C32/100*0.3</f>
        <v>0</v>
      </c>
      <c r="H32" s="70">
        <f>C32/100*420</f>
        <v>0</v>
      </c>
      <c r="I32" s="70"/>
      <c r="J32" s="70"/>
      <c r="K32" s="70"/>
      <c r="L32" s="70">
        <f>C32/100*0.4</f>
        <v>0</v>
      </c>
      <c r="M32" s="3">
        <v>3</v>
      </c>
    </row>
    <row r="33" spans="1:13">
      <c r="A33" s="72"/>
      <c r="B33" s="104" t="s">
        <v>305</v>
      </c>
      <c r="C33" s="4"/>
      <c r="D33" s="5">
        <f>C33/100*24</f>
        <v>0</v>
      </c>
      <c r="E33" s="11">
        <f>C33/100*2.5</f>
        <v>0</v>
      </c>
      <c r="F33" s="11">
        <f>C33/100*0.1</f>
        <v>0</v>
      </c>
      <c r="G33" s="11">
        <f>C33/100*4.8</f>
        <v>0</v>
      </c>
      <c r="H33" s="70">
        <f>C33/100*0</f>
        <v>0</v>
      </c>
      <c r="I33" s="70"/>
      <c r="J33" s="70"/>
      <c r="K33" s="70">
        <f>C33/100*4.2</f>
        <v>0</v>
      </c>
      <c r="L33" s="70"/>
      <c r="M33" s="3">
        <v>6</v>
      </c>
    </row>
    <row r="34" spans="1:13">
      <c r="A34" s="72"/>
      <c r="B34" s="81" t="s">
        <v>1226</v>
      </c>
      <c r="C34" s="4"/>
      <c r="D34" s="5">
        <f>C34/100*35</f>
        <v>0</v>
      </c>
      <c r="E34" s="11">
        <f>C34/100*3.4</f>
        <v>0</v>
      </c>
      <c r="F34" s="11">
        <f>C34/100*0.1</f>
        <v>0</v>
      </c>
      <c r="G34" s="11">
        <f>C34/100*7.2</f>
        <v>0</v>
      </c>
      <c r="H34" s="70">
        <f t="shared" ref="H34:H38" si="9">C34/100*0</f>
        <v>0</v>
      </c>
      <c r="I34" s="70">
        <f>C34/100*0.7</f>
        <v>0</v>
      </c>
      <c r="J34" s="70">
        <f>C34/100*5</f>
        <v>0</v>
      </c>
      <c r="K34" s="70">
        <f>C34/100*5.7</f>
        <v>0</v>
      </c>
      <c r="L34" s="11">
        <f t="shared" ref="L34" si="10">C34/100*0</f>
        <v>0</v>
      </c>
      <c r="M34" s="3">
        <v>6</v>
      </c>
    </row>
    <row r="35" spans="1:13">
      <c r="A35" s="72"/>
      <c r="B35" s="104" t="s">
        <v>921</v>
      </c>
      <c r="C35" s="4"/>
      <c r="D35" s="5">
        <f>C35/100*355</f>
        <v>0</v>
      </c>
      <c r="E35" s="11">
        <f>C35/100*8.5</f>
        <v>0</v>
      </c>
      <c r="F35" s="11">
        <f>C35/100*1.3</f>
        <v>0</v>
      </c>
      <c r="G35" s="11">
        <f>C35/100*77.3</f>
        <v>0</v>
      </c>
      <c r="H35" s="70">
        <f t="shared" si="9"/>
        <v>0</v>
      </c>
      <c r="I35" s="70"/>
      <c r="J35" s="70"/>
      <c r="K35" s="70"/>
      <c r="L35" s="11">
        <f>C35/100*0.4169078</f>
        <v>0</v>
      </c>
      <c r="M35" s="3">
        <v>1</v>
      </c>
    </row>
    <row r="36" spans="1:13">
      <c r="A36" s="72"/>
      <c r="B36" s="104" t="s">
        <v>788</v>
      </c>
      <c r="C36" s="4"/>
      <c r="D36" s="5">
        <f>C36/100*368</f>
        <v>0</v>
      </c>
      <c r="E36" s="11">
        <f>C36/100*8</f>
        <v>0</v>
      </c>
      <c r="F36" s="11">
        <f>C36/100*1.7</f>
        <v>0</v>
      </c>
      <c r="G36" s="11">
        <f>C36/100*75.9</f>
        <v>0</v>
      </c>
      <c r="H36" s="70">
        <f t="shared" si="9"/>
        <v>0</v>
      </c>
      <c r="I36" s="70"/>
      <c r="J36" s="70"/>
      <c r="K36" s="70">
        <f>C36/100*2.5</f>
        <v>0</v>
      </c>
      <c r="L36" s="11">
        <f>C36/100*0.0050842</f>
        <v>0</v>
      </c>
      <c r="M36" s="3">
        <v>1</v>
      </c>
    </row>
    <row r="37" spans="1:13">
      <c r="A37" s="72"/>
      <c r="B37" s="103" t="s">
        <v>360</v>
      </c>
      <c r="C37" s="4"/>
      <c r="D37" s="5">
        <f>C37/100*76</f>
        <v>0</v>
      </c>
      <c r="E37" s="11">
        <f>C37/100*1.6</f>
        <v>0</v>
      </c>
      <c r="F37" s="11">
        <f>C37/100*0.1</f>
        <v>0</v>
      </c>
      <c r="G37" s="11">
        <f>C37/100*17.6</f>
        <v>0</v>
      </c>
      <c r="H37" s="70">
        <f t="shared" si="9"/>
        <v>0</v>
      </c>
      <c r="I37" s="70">
        <f>C37/100*0.6</f>
        <v>0</v>
      </c>
      <c r="J37" s="70">
        <f>C37/100*0.7</f>
        <v>0</v>
      </c>
      <c r="K37" s="70">
        <f>C37/100*1.3</f>
        <v>0</v>
      </c>
      <c r="L37" s="70">
        <f>C37/100*0</f>
        <v>0</v>
      </c>
      <c r="M37" s="3">
        <v>1</v>
      </c>
    </row>
    <row r="38" spans="1:13">
      <c r="A38" s="72"/>
      <c r="B38" s="81" t="s">
        <v>605</v>
      </c>
      <c r="C38" s="4"/>
      <c r="D38" s="5">
        <f>C38/100*126/0.14</f>
        <v>0</v>
      </c>
      <c r="E38" s="11">
        <f>C38/100*0/0.14</f>
        <v>0</v>
      </c>
      <c r="F38" s="11">
        <f>C38/100*14/0.14</f>
        <v>0</v>
      </c>
      <c r="G38" s="11">
        <f>C38/100*0/0.14</f>
        <v>0</v>
      </c>
      <c r="H38" s="70">
        <f t="shared" si="9"/>
        <v>0</v>
      </c>
      <c r="I38" s="70"/>
      <c r="J38" s="70"/>
      <c r="K38" s="70"/>
      <c r="L38" s="70"/>
      <c r="M38" s="3">
        <v>5</v>
      </c>
    </row>
    <row r="39" spans="1:13">
      <c r="A39" s="72"/>
      <c r="B39" s="103"/>
      <c r="C39" s="4"/>
      <c r="D39" s="5"/>
      <c r="E39" s="11"/>
      <c r="F39" s="11"/>
      <c r="G39" s="11"/>
      <c r="H39" s="70"/>
      <c r="I39" s="70"/>
      <c r="J39" s="70"/>
      <c r="K39" s="70"/>
      <c r="L39" s="70"/>
      <c r="M39" s="19"/>
    </row>
    <row r="40" spans="1:13">
      <c r="A40" s="72"/>
      <c r="B40" s="81"/>
      <c r="C40" s="4"/>
      <c r="D40" s="5"/>
      <c r="E40" s="11"/>
      <c r="F40" s="11"/>
      <c r="G40" s="11"/>
      <c r="H40" s="70"/>
      <c r="I40" s="70"/>
      <c r="J40" s="70"/>
      <c r="K40" s="70"/>
      <c r="L40" s="70"/>
      <c r="M40" s="3"/>
    </row>
    <row r="41" spans="1:13">
      <c r="A41" s="72"/>
      <c r="B41" s="81"/>
      <c r="C41" s="4"/>
      <c r="D41" s="5"/>
      <c r="E41" s="11"/>
      <c r="F41" s="11"/>
      <c r="G41" s="11"/>
      <c r="H41" s="70"/>
      <c r="I41" s="70"/>
      <c r="J41" s="70"/>
      <c r="K41" s="70"/>
      <c r="L41" s="70"/>
      <c r="M41" s="19"/>
    </row>
    <row r="42" spans="1:13">
      <c r="A42" s="72"/>
      <c r="B42" s="104"/>
      <c r="C42" s="4"/>
      <c r="D42" s="5"/>
      <c r="E42" s="11"/>
      <c r="F42" s="11"/>
      <c r="G42" s="11"/>
      <c r="H42" s="70"/>
      <c r="I42" s="70"/>
      <c r="J42" s="70"/>
      <c r="K42" s="70"/>
      <c r="L42" s="11"/>
      <c r="M42" s="19"/>
    </row>
    <row r="43" spans="1:13">
      <c r="A43" s="72"/>
      <c r="B43" s="92"/>
      <c r="C43" s="74"/>
      <c r="D43" s="75"/>
      <c r="E43" s="75"/>
      <c r="F43" s="75"/>
      <c r="G43" s="75"/>
      <c r="H43" s="73"/>
      <c r="I43" s="128"/>
      <c r="J43" s="128"/>
      <c r="K43" s="128"/>
      <c r="L43" s="73"/>
      <c r="M43" s="15"/>
    </row>
    <row r="44" spans="1:13" ht="14.25" thickBot="1">
      <c r="A44" s="72"/>
      <c r="B44" s="93"/>
      <c r="C44" s="134"/>
      <c r="D44" s="135"/>
      <c r="E44" s="135"/>
      <c r="F44" s="135"/>
      <c r="G44" s="135"/>
      <c r="H44" s="137"/>
      <c r="I44" s="136"/>
      <c r="J44" s="136"/>
      <c r="K44" s="136"/>
      <c r="L44" s="137"/>
      <c r="M44" s="91"/>
    </row>
    <row r="45" spans="1:13">
      <c r="A45" s="72"/>
      <c r="B45" s="140" t="s">
        <v>759</v>
      </c>
      <c r="C45" s="141">
        <f>C10</f>
        <v>522</v>
      </c>
      <c r="D45" s="138">
        <f>SUM(D12:D44)</f>
        <v>157.84333333333336</v>
      </c>
      <c r="E45" s="138">
        <f t="shared" ref="E45:L45" si="11">SUM(E12:E44)</f>
        <v>5.9950000000000001</v>
      </c>
      <c r="F45" s="138">
        <f t="shared" si="11"/>
        <v>0.59600000000000009</v>
      </c>
      <c r="G45" s="138">
        <f t="shared" si="11"/>
        <v>41.693333333333335</v>
      </c>
      <c r="H45" s="176">
        <f t="shared" si="11"/>
        <v>0</v>
      </c>
      <c r="I45" s="138">
        <f t="shared" si="11"/>
        <v>0.55199999999999994</v>
      </c>
      <c r="J45" s="138">
        <f t="shared" si="11"/>
        <v>2.484</v>
      </c>
      <c r="K45" s="138">
        <f t="shared" si="11"/>
        <v>8.7960000000000012</v>
      </c>
      <c r="L45" s="138">
        <f t="shared" si="11"/>
        <v>3.0412074033333338</v>
      </c>
      <c r="M45" s="139"/>
    </row>
    <row r="46" spans="1:13" ht="14.25" thickBot="1">
      <c r="A46" s="72"/>
      <c r="B46" s="142" t="str">
        <f>B10</f>
        <v>酢の物（わかめ・キュウリ）9/5</v>
      </c>
      <c r="C46" s="143">
        <v>100</v>
      </c>
      <c r="D46" s="144">
        <f>$C46/$C45*D45</f>
        <v>30.2381864623244</v>
      </c>
      <c r="E46" s="144">
        <f t="shared" ref="E46:L46" si="12">$C46/$C45*E45</f>
        <v>1.1484674329501916</v>
      </c>
      <c r="F46" s="144">
        <f t="shared" si="12"/>
        <v>0.11417624521072799</v>
      </c>
      <c r="G46" s="144">
        <f t="shared" si="12"/>
        <v>7.9872286079182633</v>
      </c>
      <c r="H46" s="247">
        <f t="shared" si="12"/>
        <v>0</v>
      </c>
      <c r="I46" s="144">
        <f t="shared" si="12"/>
        <v>0.10574712643678159</v>
      </c>
      <c r="J46" s="144">
        <f t="shared" si="12"/>
        <v>0.47586206896551725</v>
      </c>
      <c r="K46" s="144">
        <f t="shared" si="12"/>
        <v>1.685057471264368</v>
      </c>
      <c r="L46" s="144">
        <f t="shared" si="12"/>
        <v>0.58260678224776508</v>
      </c>
      <c r="M46" s="144"/>
    </row>
    <row r="47" spans="1:13">
      <c r="A47" s="72"/>
      <c r="B47" s="112"/>
      <c r="C47" s="78"/>
      <c r="D47" s="76"/>
      <c r="E47" s="76"/>
      <c r="F47" s="76"/>
      <c r="G47" s="76"/>
      <c r="H47" s="76"/>
      <c r="I47" s="129"/>
      <c r="J47" s="129"/>
      <c r="K47" s="129"/>
      <c r="L47" s="119"/>
      <c r="M47" s="71"/>
    </row>
    <row r="48" spans="1:13">
      <c r="A48" s="72"/>
      <c r="B48" s="77"/>
      <c r="C48" s="78"/>
      <c r="D48" s="76"/>
      <c r="E48" s="76"/>
      <c r="F48" s="76"/>
      <c r="G48" s="76"/>
      <c r="H48" s="76"/>
      <c r="I48" s="129"/>
      <c r="J48" s="129"/>
      <c r="K48" s="129"/>
      <c r="L48" s="119"/>
      <c r="M48" s="71"/>
    </row>
    <row r="49" spans="5:13">
      <c r="E49" s="14"/>
      <c r="F49" s="14"/>
      <c r="G49" s="14"/>
      <c r="H49" s="14"/>
      <c r="I49" s="14"/>
      <c r="J49" s="14"/>
      <c r="K49" s="14"/>
      <c r="L49" s="14"/>
      <c r="M49" s="88"/>
    </row>
    <row r="50" spans="5:13">
      <c r="E50" s="14"/>
      <c r="F50" s="14"/>
      <c r="G50" s="14"/>
      <c r="H50" s="14"/>
      <c r="I50" s="14"/>
      <c r="J50" s="14"/>
      <c r="K50" s="14"/>
      <c r="L50" s="14"/>
      <c r="M50" s="88"/>
    </row>
    <row r="51" spans="5:13">
      <c r="E51" s="14"/>
      <c r="F51" s="14"/>
      <c r="G51" s="14"/>
      <c r="H51" s="14"/>
      <c r="I51" s="14"/>
      <c r="J51" s="14"/>
      <c r="K51" s="14"/>
      <c r="L51" s="14"/>
      <c r="M51" s="88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1"/>
  <sheetViews>
    <sheetView zoomScale="160" zoomScaleNormal="160" workbookViewId="0">
      <selection sqref="A1:XFD1048576"/>
    </sheetView>
  </sheetViews>
  <sheetFormatPr defaultRowHeight="13.5"/>
  <cols>
    <col min="1" max="1" width="2" customWidth="1"/>
    <col min="2" max="2" width="31.75" bestFit="1" customWidth="1"/>
    <col min="3" max="3" width="12.25" bestFit="1" customWidth="1"/>
    <col min="4" max="4" width="7.5" bestFit="1" customWidth="1"/>
    <col min="5" max="5" width="7.125" style="126" bestFit="1" customWidth="1"/>
    <col min="6" max="6" width="7.375" style="126" customWidth="1"/>
    <col min="7" max="7" width="7.125" style="126" bestFit="1" customWidth="1"/>
    <col min="8" max="8" width="6.5" style="126" bestFit="1" customWidth="1"/>
    <col min="9" max="11" width="5.5" style="126" bestFit="1" customWidth="1"/>
    <col min="12" max="12" width="7.125" style="126" bestFit="1" customWidth="1"/>
    <col min="13" max="13" width="8.5" bestFit="1" customWidth="1"/>
  </cols>
  <sheetData>
    <row r="1" spans="1:13" ht="41.25" thickBot="1">
      <c r="A1" s="72"/>
      <c r="B1" s="104" t="s">
        <v>0</v>
      </c>
      <c r="C1" s="3" t="s">
        <v>1</v>
      </c>
      <c r="D1" s="3" t="s">
        <v>756</v>
      </c>
      <c r="E1" s="96" t="s">
        <v>757</v>
      </c>
      <c r="F1" s="3" t="s">
        <v>4</v>
      </c>
      <c r="G1" s="96" t="s">
        <v>760</v>
      </c>
      <c r="H1" s="120" t="s">
        <v>1148</v>
      </c>
      <c r="I1" s="131" t="s">
        <v>6</v>
      </c>
      <c r="J1" s="131" t="s">
        <v>7</v>
      </c>
      <c r="K1" s="131" t="s">
        <v>8</v>
      </c>
      <c r="L1" s="122" t="s">
        <v>9</v>
      </c>
      <c r="M1" s="89" t="s">
        <v>746</v>
      </c>
    </row>
    <row r="2" spans="1:13">
      <c r="A2" s="72"/>
      <c r="B2" s="140" t="s">
        <v>759</v>
      </c>
      <c r="C2" s="141">
        <f>C10</f>
        <v>559</v>
      </c>
      <c r="D2" s="138">
        <f>SUM(D12:D44)</f>
        <v>543.18959999999993</v>
      </c>
      <c r="E2" s="138">
        <f t="shared" ref="E2:L2" si="0">SUM(E12:E44)</f>
        <v>21.015199999999993</v>
      </c>
      <c r="F2" s="138">
        <f t="shared" si="0"/>
        <v>15.2433</v>
      </c>
      <c r="G2" s="138">
        <f t="shared" si="0"/>
        <v>75.867800000000003</v>
      </c>
      <c r="H2" s="138">
        <f t="shared" si="0"/>
        <v>26.686999999999998</v>
      </c>
      <c r="I2" s="138">
        <f t="shared" si="0"/>
        <v>0.17899999999999999</v>
      </c>
      <c r="J2" s="138">
        <f t="shared" si="0"/>
        <v>0.996</v>
      </c>
      <c r="K2" s="138">
        <f t="shared" si="0"/>
        <v>4.6348000000000003</v>
      </c>
      <c r="L2" s="138">
        <f t="shared" si="0"/>
        <v>5.8333000000000004</v>
      </c>
      <c r="M2" s="138"/>
    </row>
    <row r="3" spans="1:13" ht="14.25" thickBot="1">
      <c r="A3" s="72"/>
      <c r="B3" s="142" t="str">
        <f>B10</f>
        <v>ラーメン(外食・白味噌)推定9/8</v>
      </c>
      <c r="C3" s="143">
        <v>100</v>
      </c>
      <c r="D3" s="144">
        <f>$C$3/$C$2*D2</f>
        <v>97.171663685152041</v>
      </c>
      <c r="E3" s="144">
        <f t="shared" ref="E3:L3" si="1">$C$3/$C$2*E2</f>
        <v>3.75942754919499</v>
      </c>
      <c r="F3" s="144">
        <f t="shared" si="1"/>
        <v>2.7268872987477639</v>
      </c>
      <c r="G3" s="144">
        <f t="shared" si="1"/>
        <v>13.572057245080503</v>
      </c>
      <c r="H3" s="144">
        <f t="shared" si="1"/>
        <v>4.7740608228980319</v>
      </c>
      <c r="I3" s="144">
        <f t="shared" si="1"/>
        <v>3.2021466905187833E-2</v>
      </c>
      <c r="J3" s="144">
        <f t="shared" si="1"/>
        <v>0.178175313059034</v>
      </c>
      <c r="K3" s="144">
        <f t="shared" si="1"/>
        <v>0.82912343470483008</v>
      </c>
      <c r="L3" s="144">
        <f t="shared" si="1"/>
        <v>1.0435241502683363</v>
      </c>
      <c r="M3" s="144"/>
    </row>
    <row r="6" spans="1:13">
      <c r="C6" t="s">
        <v>1152</v>
      </c>
      <c r="D6" s="13">
        <v>1129</v>
      </c>
      <c r="E6" s="13">
        <v>333</v>
      </c>
      <c r="F6" s="13">
        <f>D6-E6</f>
        <v>796</v>
      </c>
    </row>
    <row r="7" spans="1:13">
      <c r="C7" t="s">
        <v>1153</v>
      </c>
      <c r="D7" s="13">
        <v>0</v>
      </c>
      <c r="E7" s="13">
        <v>0</v>
      </c>
      <c r="F7" s="43">
        <f>D7-E7</f>
        <v>0</v>
      </c>
    </row>
    <row r="8" spans="1:13">
      <c r="C8" t="s">
        <v>1154</v>
      </c>
      <c r="D8" s="13">
        <v>0</v>
      </c>
      <c r="E8" s="13">
        <v>0</v>
      </c>
      <c r="F8" s="13">
        <f>D8-E8</f>
        <v>0</v>
      </c>
    </row>
    <row r="9" spans="1:13">
      <c r="B9" s="14" t="s">
        <v>1163</v>
      </c>
    </row>
    <row r="10" spans="1:13">
      <c r="A10" s="72"/>
      <c r="B10" s="81" t="s">
        <v>1258</v>
      </c>
      <c r="C10" s="125">
        <v>559</v>
      </c>
      <c r="D10" s="72"/>
      <c r="E10" s="127"/>
      <c r="F10" s="127"/>
      <c r="G10" s="127"/>
      <c r="H10" s="127"/>
      <c r="I10" s="127"/>
      <c r="J10" s="127"/>
      <c r="K10" s="127"/>
      <c r="L10" s="127"/>
      <c r="M10" s="72"/>
    </row>
    <row r="11" spans="1:13" ht="52.5" customHeight="1">
      <c r="A11" s="72"/>
      <c r="B11" s="104" t="s">
        <v>0</v>
      </c>
      <c r="C11" s="3" t="s">
        <v>1</v>
      </c>
      <c r="D11" s="3" t="s">
        <v>756</v>
      </c>
      <c r="E11" s="96" t="s">
        <v>757</v>
      </c>
      <c r="F11" s="3" t="s">
        <v>4</v>
      </c>
      <c r="G11" s="96" t="s">
        <v>760</v>
      </c>
      <c r="H11" s="120" t="s">
        <v>1148</v>
      </c>
      <c r="I11" s="131" t="s">
        <v>6</v>
      </c>
      <c r="J11" s="131" t="s">
        <v>7</v>
      </c>
      <c r="K11" s="131" t="s">
        <v>8</v>
      </c>
      <c r="L11" s="122" t="s">
        <v>9</v>
      </c>
      <c r="M11" s="89" t="s">
        <v>746</v>
      </c>
    </row>
    <row r="12" spans="1:13">
      <c r="A12" s="72"/>
      <c r="B12" s="81" t="s">
        <v>1207</v>
      </c>
      <c r="C12" s="24">
        <v>230</v>
      </c>
      <c r="D12" s="5">
        <f>C12/100*149</f>
        <v>342.7</v>
      </c>
      <c r="E12" s="11">
        <f>C12/100*4.9</f>
        <v>11.27</v>
      </c>
      <c r="F12" s="11">
        <f>C12/100*0.6</f>
        <v>1.38</v>
      </c>
      <c r="G12" s="11">
        <f>C12/100*29.2</f>
        <v>67.16</v>
      </c>
      <c r="H12" s="70">
        <f t="shared" ref="H12" si="2">C12/100*0</f>
        <v>0</v>
      </c>
      <c r="I12" s="70"/>
      <c r="J12" s="70"/>
      <c r="K12" s="70">
        <f>C12/100*1.3</f>
        <v>2.9899999999999998</v>
      </c>
      <c r="L12" s="11">
        <f>C12/100*0.2</f>
        <v>0.45999999999999996</v>
      </c>
      <c r="M12" s="3">
        <v>1</v>
      </c>
    </row>
    <row r="13" spans="1:13">
      <c r="A13" s="72"/>
      <c r="B13" s="104" t="s">
        <v>499</v>
      </c>
      <c r="C13" s="4">
        <v>261</v>
      </c>
      <c r="D13" s="5">
        <f>C13/100*58.36</f>
        <v>152.31959999999998</v>
      </c>
      <c r="E13" s="11">
        <f>C13/100*1.82</f>
        <v>4.7501999999999995</v>
      </c>
      <c r="F13" s="11">
        <f>C13/100*4.53</f>
        <v>11.8233</v>
      </c>
      <c r="G13" s="11">
        <f>C13/100*2.18</f>
        <v>5.6898</v>
      </c>
      <c r="H13" s="11">
        <f>C13/100*6.7</f>
        <v>17.486999999999998</v>
      </c>
      <c r="I13" s="70"/>
      <c r="J13" s="70"/>
      <c r="K13" s="70">
        <f>C13/100*0.18</f>
        <v>0.46979999999999994</v>
      </c>
      <c r="L13" s="11">
        <f>C13/100*1.83</f>
        <v>4.7763</v>
      </c>
      <c r="M13" s="19" t="s">
        <v>750</v>
      </c>
    </row>
    <row r="14" spans="1:13">
      <c r="A14" s="72"/>
      <c r="B14" s="104" t="s">
        <v>464</v>
      </c>
      <c r="C14" s="4">
        <v>20</v>
      </c>
      <c r="D14" s="5">
        <f>C14/100*172</f>
        <v>34.4</v>
      </c>
      <c r="E14" s="11">
        <f>C14/100*19.4</f>
        <v>3.88</v>
      </c>
      <c r="F14" s="11">
        <f>C14/100*8.2</f>
        <v>1.64</v>
      </c>
      <c r="G14" s="11">
        <f>C14/100*5.1</f>
        <v>1.02</v>
      </c>
      <c r="H14" s="11">
        <f>C14/100*46</f>
        <v>9.2000000000000011</v>
      </c>
      <c r="I14" s="70"/>
      <c r="J14" s="70"/>
      <c r="K14" s="70"/>
      <c r="L14" s="70">
        <f>C14/100*2.4</f>
        <v>0.48</v>
      </c>
      <c r="M14" s="3">
        <v>3</v>
      </c>
    </row>
    <row r="15" spans="1:13">
      <c r="A15" s="72"/>
      <c r="B15" s="104" t="s">
        <v>356</v>
      </c>
      <c r="C15" s="24">
        <v>13</v>
      </c>
      <c r="D15" s="5">
        <f>C15/100*19</f>
        <v>2.4700000000000002</v>
      </c>
      <c r="E15" s="11">
        <f>C15/100*1</f>
        <v>0.13</v>
      </c>
      <c r="F15" s="11">
        <f>C15/100*0.5</f>
        <v>6.5000000000000002E-2</v>
      </c>
      <c r="G15" s="11">
        <f>C15/100*3.6</f>
        <v>0.46800000000000003</v>
      </c>
      <c r="H15" s="70">
        <f>C15/100*0</f>
        <v>0</v>
      </c>
      <c r="I15" s="70">
        <f>C15/100*0.3</f>
        <v>3.9E-2</v>
      </c>
      <c r="J15" s="70">
        <f>C15/100*3.2</f>
        <v>0.41600000000000004</v>
      </c>
      <c r="K15" s="70">
        <f>C15/100*3.5</f>
        <v>0.45500000000000002</v>
      </c>
      <c r="L15" s="70">
        <f>C15/100*0.9</f>
        <v>0.11700000000000001</v>
      </c>
      <c r="M15" s="3">
        <v>6</v>
      </c>
    </row>
    <row r="16" spans="1:13">
      <c r="A16" s="72"/>
      <c r="B16" s="81" t="s">
        <v>697</v>
      </c>
      <c r="C16" s="24">
        <v>20</v>
      </c>
      <c r="D16" s="5">
        <f>C16/100*34</f>
        <v>6.8000000000000007</v>
      </c>
      <c r="E16" s="11">
        <f>C16/100*2.9</f>
        <v>0.57999999999999996</v>
      </c>
      <c r="F16" s="11">
        <f>C16/100*1.6</f>
        <v>0.32000000000000006</v>
      </c>
      <c r="G16" s="11">
        <f>C16/100*2.2</f>
        <v>0.44000000000000006</v>
      </c>
      <c r="H16" s="70">
        <f t="shared" ref="H16:H17" si="3">C16/100*0</f>
        <v>0</v>
      </c>
      <c r="I16" s="70">
        <f>C16/100*0.3</f>
        <v>0.06</v>
      </c>
      <c r="J16" s="70">
        <f>C16/100*1.9</f>
        <v>0.38</v>
      </c>
      <c r="K16" s="70">
        <f>C16/100*2.2</f>
        <v>0.44000000000000006</v>
      </c>
      <c r="L16" s="70">
        <f>C16/100*0</f>
        <v>0</v>
      </c>
      <c r="M16" s="3">
        <v>6</v>
      </c>
    </row>
    <row r="17" spans="1:13">
      <c r="A17" s="72"/>
      <c r="B17" s="81" t="s">
        <v>527</v>
      </c>
      <c r="C17" s="24">
        <v>5</v>
      </c>
      <c r="D17" s="5">
        <f>C17/100*28</f>
        <v>1.4000000000000001</v>
      </c>
      <c r="E17" s="11">
        <f>C17/100*6.5</f>
        <v>0.32500000000000001</v>
      </c>
      <c r="F17" s="11">
        <f>C17/100*0.1</f>
        <v>5.000000000000001E-3</v>
      </c>
      <c r="G17" s="11">
        <f>C17/100*7.2</f>
        <v>0.36000000000000004</v>
      </c>
      <c r="H17" s="70">
        <f t="shared" si="3"/>
        <v>0</v>
      </c>
      <c r="I17" s="70">
        <f>C17/100*0.2</f>
        <v>1.0000000000000002E-2</v>
      </c>
      <c r="J17" s="70">
        <f>C17/100*2</f>
        <v>0.1</v>
      </c>
      <c r="K17" s="70">
        <f>C17/100*2.2</f>
        <v>0.11000000000000001</v>
      </c>
      <c r="L17" s="70">
        <f>C17/100*0</f>
        <v>0</v>
      </c>
      <c r="M17" s="3">
        <v>6</v>
      </c>
    </row>
    <row r="18" spans="1:13">
      <c r="A18" s="72"/>
      <c r="B18" s="81" t="s">
        <v>982</v>
      </c>
      <c r="C18" s="4">
        <v>10</v>
      </c>
      <c r="D18" s="5">
        <f>C18/100*31</f>
        <v>3.1</v>
      </c>
      <c r="E18" s="11">
        <f>C18/100*0.8</f>
        <v>8.0000000000000016E-2</v>
      </c>
      <c r="F18" s="11">
        <f>C18/100*0.1</f>
        <v>1.0000000000000002E-2</v>
      </c>
      <c r="G18" s="11">
        <f>C18/100*7.3</f>
        <v>0.73</v>
      </c>
      <c r="H18" s="11">
        <f>C18/100*0</f>
        <v>0</v>
      </c>
      <c r="I18" s="70">
        <f>C18/100*0.7</f>
        <v>6.9999999999999993E-2</v>
      </c>
      <c r="J18" s="70">
        <f>C18/100*1</f>
        <v>0.1</v>
      </c>
      <c r="K18" s="70">
        <f>C18/100*1.7</f>
        <v>0.17</v>
      </c>
      <c r="L18" s="70">
        <f>C18/100*0</f>
        <v>0</v>
      </c>
      <c r="M18" s="3">
        <v>6</v>
      </c>
    </row>
    <row r="19" spans="1:13">
      <c r="A19" s="72"/>
      <c r="B19" s="81"/>
      <c r="C19" s="24"/>
      <c r="D19" s="5"/>
      <c r="E19" s="11"/>
      <c r="F19" s="11"/>
      <c r="G19" s="11"/>
      <c r="H19" s="70"/>
      <c r="I19" s="70"/>
      <c r="J19" s="70"/>
      <c r="K19" s="70"/>
      <c r="L19" s="70"/>
      <c r="M19" s="3"/>
    </row>
    <row r="20" spans="1:13">
      <c r="A20" s="72"/>
      <c r="B20" s="81"/>
      <c r="C20" s="24"/>
      <c r="D20" s="5"/>
      <c r="E20" s="11"/>
      <c r="F20" s="11"/>
      <c r="G20" s="11"/>
      <c r="H20" s="70"/>
      <c r="I20" s="70"/>
      <c r="J20" s="70"/>
      <c r="K20" s="70"/>
      <c r="L20" s="11"/>
      <c r="M20" s="19"/>
    </row>
    <row r="21" spans="1:13">
      <c r="A21" s="72"/>
      <c r="B21" s="81" t="s">
        <v>523</v>
      </c>
      <c r="C21" s="24"/>
      <c r="D21" s="5">
        <f>C21/100*37</f>
        <v>0</v>
      </c>
      <c r="E21" s="11">
        <f>C21/100*0.6</f>
        <v>0</v>
      </c>
      <c r="F21" s="11">
        <f>C21/100*0.1</f>
        <v>0</v>
      </c>
      <c r="G21" s="11">
        <f>C21/100*9.1</f>
        <v>0</v>
      </c>
      <c r="H21" s="70">
        <f t="shared" ref="H21" si="4">C21/100*0</f>
        <v>0</v>
      </c>
      <c r="I21" s="70">
        <f>C21/100*0.7</f>
        <v>0</v>
      </c>
      <c r="J21" s="70">
        <f>C21/100*2</f>
        <v>0</v>
      </c>
      <c r="K21" s="70">
        <f>C21/100*2.7</f>
        <v>0</v>
      </c>
      <c r="L21" s="70">
        <f>C21/100*0.1</f>
        <v>0</v>
      </c>
      <c r="M21" s="3">
        <v>6</v>
      </c>
    </row>
    <row r="22" spans="1:13">
      <c r="A22" s="72"/>
      <c r="B22" s="81" t="s">
        <v>1187</v>
      </c>
      <c r="C22" s="24"/>
      <c r="D22" s="5">
        <f>C22/100*114</f>
        <v>0</v>
      </c>
      <c r="E22" s="11">
        <f>C22/100*4.2</f>
        <v>0</v>
      </c>
      <c r="F22" s="11">
        <f>C22/100*2.4</f>
        <v>0</v>
      </c>
      <c r="G22" s="11">
        <f>C22/100*19</f>
        <v>0</v>
      </c>
      <c r="H22" s="70">
        <f t="shared" ref="H22:H23" si="5">C22/100*0</f>
        <v>0</v>
      </c>
      <c r="I22" s="70"/>
      <c r="J22" s="70"/>
      <c r="K22" s="70"/>
      <c r="L22" s="11">
        <f>C22/100*8.8211598</f>
        <v>0</v>
      </c>
      <c r="M22" s="19" t="s">
        <v>750</v>
      </c>
    </row>
    <row r="23" spans="1:13">
      <c r="A23" s="72"/>
      <c r="B23" s="104" t="s">
        <v>999</v>
      </c>
      <c r="C23" s="24"/>
      <c r="D23" s="5">
        <f>C23/100*140</f>
        <v>0</v>
      </c>
      <c r="E23" s="11">
        <f>C23/100*4.6</f>
        <v>0</v>
      </c>
      <c r="F23" s="11">
        <f>C23/100*0</f>
        <v>0</v>
      </c>
      <c r="G23" s="11">
        <f>C23/100*27.6</f>
        <v>0</v>
      </c>
      <c r="H23" s="70">
        <f t="shared" si="5"/>
        <v>0</v>
      </c>
      <c r="I23" s="70"/>
      <c r="J23" s="70"/>
      <c r="K23" s="70"/>
      <c r="L23" s="11">
        <f>C23/100*11.185332</f>
        <v>0</v>
      </c>
      <c r="M23" s="19" t="s">
        <v>750</v>
      </c>
    </row>
    <row r="24" spans="1:13">
      <c r="A24" s="72"/>
      <c r="B24" s="104" t="s">
        <v>1195</v>
      </c>
      <c r="C24" s="24"/>
      <c r="D24" s="5">
        <f>C24/100*65/0.54</f>
        <v>0</v>
      </c>
      <c r="E24" s="11">
        <f>C24/100*12.5/0.54</f>
        <v>0</v>
      </c>
      <c r="F24" s="11">
        <f>C24/100*1.1/0.54</f>
        <v>0</v>
      </c>
      <c r="G24" s="11">
        <f>C24/100*1.1/0.54</f>
        <v>0</v>
      </c>
      <c r="H24" s="70">
        <f>C24/100*3.896/0.54</f>
        <v>0</v>
      </c>
      <c r="I24" s="70"/>
      <c r="J24" s="70"/>
      <c r="K24" s="70"/>
      <c r="L24" s="11">
        <f>C24/100*1.5023935/0.54</f>
        <v>0</v>
      </c>
      <c r="M24" s="3">
        <v>3</v>
      </c>
    </row>
    <row r="25" spans="1:13">
      <c r="A25" s="72"/>
      <c r="B25" s="104" t="s">
        <v>721</v>
      </c>
      <c r="C25" s="24"/>
      <c r="D25" s="5">
        <f>C25/100*287/1.1</f>
        <v>0</v>
      </c>
      <c r="E25" s="11">
        <f>C25/100*12.1/1.1</f>
        <v>0</v>
      </c>
      <c r="F25" s="11">
        <f>C25/100*1/1.1</f>
        <v>0</v>
      </c>
      <c r="G25" s="11">
        <f>C25/100*57.3/1.1</f>
        <v>0</v>
      </c>
      <c r="H25" s="70">
        <f t="shared" ref="H25:H27" si="6">C25/100*0</f>
        <v>0</v>
      </c>
      <c r="I25" s="70"/>
      <c r="J25" s="70"/>
      <c r="K25" s="70"/>
      <c r="L25" s="11">
        <f>C25/100*2.4328097/1.1</f>
        <v>0</v>
      </c>
      <c r="M25" s="3">
        <v>1</v>
      </c>
    </row>
    <row r="26" spans="1:13">
      <c r="A26" s="72"/>
      <c r="B26" s="104" t="s">
        <v>336</v>
      </c>
      <c r="C26" s="24"/>
      <c r="D26" s="5">
        <f>C26/100*921</f>
        <v>0</v>
      </c>
      <c r="E26" s="11">
        <f>C26/100*0</f>
        <v>0</v>
      </c>
      <c r="F26" s="11">
        <f>C26/100*100</f>
        <v>0</v>
      </c>
      <c r="G26" s="11">
        <f>C26/100*0</f>
        <v>0</v>
      </c>
      <c r="H26" s="70">
        <f t="shared" si="6"/>
        <v>0</v>
      </c>
      <c r="I26" s="70"/>
      <c r="J26" s="70"/>
      <c r="K26" s="70"/>
      <c r="L26" s="70"/>
      <c r="M26" s="3">
        <v>5</v>
      </c>
    </row>
    <row r="27" spans="1:13">
      <c r="A27" s="72"/>
      <c r="B27" s="81" t="s">
        <v>659</v>
      </c>
      <c r="C27" s="24"/>
      <c r="D27" s="5">
        <f>C27/100*217</f>
        <v>0</v>
      </c>
      <c r="E27" s="11">
        <f>C27/100*9.7</f>
        <v>0</v>
      </c>
      <c r="F27" s="11">
        <f>C27/100*3</f>
        <v>0</v>
      </c>
      <c r="G27" s="11">
        <f>C27/100*37.9</f>
        <v>0</v>
      </c>
      <c r="H27" s="70">
        <f t="shared" si="6"/>
        <v>0</v>
      </c>
      <c r="I27" s="70">
        <f>C27/100*2.2</f>
        <v>0</v>
      </c>
      <c r="J27" s="70">
        <f>C27/100*4.3</f>
        <v>0</v>
      </c>
      <c r="K27" s="70">
        <f>C27/100*6.5</f>
        <v>0</v>
      </c>
      <c r="L27" s="70">
        <f>C27/100*10.9</f>
        <v>0</v>
      </c>
      <c r="M27" s="19" t="s">
        <v>750</v>
      </c>
    </row>
    <row r="28" spans="1:13">
      <c r="A28" s="72"/>
      <c r="B28" s="104" t="s">
        <v>371</v>
      </c>
      <c r="C28" s="24"/>
      <c r="D28" s="5">
        <f>C28/100*0</f>
        <v>0</v>
      </c>
      <c r="E28" s="11">
        <f>C28/100*0</f>
        <v>0</v>
      </c>
      <c r="F28" s="11">
        <f>C28/100*0</f>
        <v>0</v>
      </c>
      <c r="G28" s="11">
        <f>C28/100*0</f>
        <v>0</v>
      </c>
      <c r="H28" s="70">
        <f t="shared" ref="H28" si="7">C28/100*0</f>
        <v>0</v>
      </c>
      <c r="I28" s="70">
        <f>C28/100*0</f>
        <v>0</v>
      </c>
      <c r="J28" s="70">
        <f>C28/100*0</f>
        <v>0</v>
      </c>
      <c r="K28" s="70">
        <f>C28/100*0</f>
        <v>0</v>
      </c>
      <c r="L28" s="11">
        <f>C28/100*99.142719</f>
        <v>0</v>
      </c>
      <c r="M28" s="19" t="s">
        <v>750</v>
      </c>
    </row>
    <row r="29" spans="1:13">
      <c r="A29" s="72"/>
      <c r="B29" s="81" t="s">
        <v>1206</v>
      </c>
      <c r="C29" s="24"/>
      <c r="D29" s="5">
        <f>C29/100*38.28</f>
        <v>0</v>
      </c>
      <c r="E29" s="11">
        <f>C29/100*2.06</f>
        <v>0</v>
      </c>
      <c r="F29" s="11">
        <f>C29/100*0.98</f>
        <v>0</v>
      </c>
      <c r="G29" s="11">
        <f>C29/100*5.34</f>
        <v>0</v>
      </c>
      <c r="H29" s="70">
        <f>C29/100*0</f>
        <v>0</v>
      </c>
      <c r="I29" s="70">
        <f>C29/100*0.31</f>
        <v>0</v>
      </c>
      <c r="J29" s="70">
        <f>C29/100*0.6</f>
        <v>0</v>
      </c>
      <c r="K29" s="70">
        <f>C29/100*0.91</f>
        <v>0</v>
      </c>
      <c r="L29" s="11">
        <f>C29/100*3.33</f>
        <v>0</v>
      </c>
      <c r="M29" s="19" t="s">
        <v>751</v>
      </c>
    </row>
    <row r="30" spans="1:13">
      <c r="A30" s="72"/>
      <c r="B30" s="81" t="s">
        <v>1105</v>
      </c>
      <c r="C30" s="24"/>
      <c r="D30" s="5">
        <f>C30/100*289/1.1</f>
        <v>0</v>
      </c>
      <c r="E30" s="11">
        <f>C30/100*8.5/1.1</f>
        <v>0</v>
      </c>
      <c r="F30" s="11">
        <f>C30/100*1.3/1.1</f>
        <v>0</v>
      </c>
      <c r="G30" s="11">
        <f>C30/100*60.9/1.1</f>
        <v>0</v>
      </c>
      <c r="H30" s="70">
        <f t="shared" ref="H30" si="8">C30/100*0</f>
        <v>0</v>
      </c>
      <c r="I30" s="70"/>
      <c r="J30" s="70"/>
      <c r="K30" s="70">
        <f>C30/100*0.15/1.1</f>
        <v>0</v>
      </c>
      <c r="L30" s="11">
        <f>C30/100*1.5456095/1.1</f>
        <v>0</v>
      </c>
      <c r="M30" s="3">
        <v>1</v>
      </c>
    </row>
    <row r="31" spans="1:13">
      <c r="A31" s="72"/>
      <c r="B31" s="104"/>
      <c r="C31" s="24"/>
      <c r="D31" s="5"/>
      <c r="E31" s="11"/>
      <c r="F31" s="11"/>
      <c r="G31" s="11"/>
      <c r="H31" s="70"/>
      <c r="I31" s="70"/>
      <c r="J31" s="70"/>
      <c r="K31" s="70"/>
      <c r="L31" s="70"/>
      <c r="M31" s="3"/>
    </row>
    <row r="32" spans="1:13">
      <c r="A32" s="72"/>
      <c r="B32" s="104"/>
      <c r="C32" s="24"/>
      <c r="D32" s="5"/>
      <c r="E32" s="11"/>
      <c r="F32" s="11"/>
      <c r="G32" s="11"/>
      <c r="H32" s="70"/>
      <c r="I32" s="70"/>
      <c r="J32" s="70"/>
      <c r="K32" s="70"/>
      <c r="L32" s="70"/>
      <c r="M32" s="3"/>
    </row>
    <row r="33" spans="1:13">
      <c r="A33" s="72"/>
      <c r="B33" s="104" t="s">
        <v>338</v>
      </c>
      <c r="C33" s="24"/>
      <c r="D33" s="5">
        <f>C33/100*43</f>
        <v>0</v>
      </c>
      <c r="E33" s="11">
        <f>C33/100*2.2</f>
        <v>0</v>
      </c>
      <c r="F33" s="11">
        <f>C33/100*0</f>
        <v>0</v>
      </c>
      <c r="G33" s="11">
        <f>C33/100*8.3</f>
        <v>0</v>
      </c>
      <c r="H33" s="70">
        <f t="shared" ref="H33" si="9">C33/100*0</f>
        <v>0</v>
      </c>
      <c r="I33" s="70"/>
      <c r="J33" s="70"/>
      <c r="K33" s="70">
        <f>C33/100*0.5</f>
        <v>0</v>
      </c>
      <c r="L33" s="70">
        <f>C33/100*3.0505452</f>
        <v>0</v>
      </c>
      <c r="M33" s="19" t="s">
        <v>750</v>
      </c>
    </row>
    <row r="34" spans="1:13">
      <c r="A34" s="72"/>
      <c r="B34" s="81"/>
      <c r="C34" s="24"/>
      <c r="D34" s="5"/>
      <c r="E34" s="11"/>
      <c r="F34" s="11"/>
      <c r="G34" s="11"/>
      <c r="H34" s="70"/>
      <c r="I34" s="70"/>
      <c r="J34" s="70"/>
      <c r="K34" s="70"/>
      <c r="L34" s="70"/>
      <c r="M34" s="3"/>
    </row>
    <row r="35" spans="1:13">
      <c r="A35" s="72"/>
      <c r="B35" s="104" t="s">
        <v>703</v>
      </c>
      <c r="C35" s="24"/>
      <c r="D35" s="5">
        <f>C35/100*188</f>
        <v>0</v>
      </c>
      <c r="E35" s="11">
        <f>C35/100*41.4</f>
        <v>0</v>
      </c>
      <c r="F35" s="11">
        <f>C35/100*3.7</f>
        <v>0</v>
      </c>
      <c r="G35" s="11">
        <f>C35/100*44.3</f>
        <v>0</v>
      </c>
      <c r="H35" s="70">
        <f t="shared" ref="H35" si="10">C35/100*0</f>
        <v>0</v>
      </c>
      <c r="I35" s="70"/>
      <c r="J35" s="70"/>
      <c r="K35" s="70">
        <f>C35/100*36</f>
        <v>0</v>
      </c>
      <c r="L35" s="11">
        <f>C35/100*1.3</f>
        <v>0</v>
      </c>
      <c r="M35" s="3">
        <v>6</v>
      </c>
    </row>
    <row r="36" spans="1:13">
      <c r="A36" s="72"/>
      <c r="B36" s="81"/>
      <c r="C36" s="24"/>
      <c r="D36" s="5"/>
      <c r="E36" s="11"/>
      <c r="F36" s="11"/>
      <c r="G36" s="11"/>
      <c r="H36" s="70"/>
      <c r="I36" s="70"/>
      <c r="J36" s="70"/>
      <c r="K36" s="70"/>
      <c r="L36" s="70"/>
      <c r="M36" s="3"/>
    </row>
    <row r="37" spans="1:13">
      <c r="A37" s="72"/>
      <c r="B37" s="104" t="s">
        <v>1115</v>
      </c>
      <c r="C37" s="24"/>
      <c r="D37" s="5">
        <f>C37/100*39/0.36</f>
        <v>0</v>
      </c>
      <c r="E37" s="11">
        <f>C37/100*7.1/0.36</f>
        <v>0</v>
      </c>
      <c r="F37" s="11">
        <f>C37/100*1.05/0.36</f>
        <v>0</v>
      </c>
      <c r="G37" s="11">
        <f>C37/100*0/0.36</f>
        <v>0</v>
      </c>
      <c r="H37" s="70">
        <f>C37/100*14.4/0.36</f>
        <v>0</v>
      </c>
      <c r="I37" s="70"/>
      <c r="J37" s="70"/>
      <c r="K37" s="70">
        <f>C37/100*0/0.36</f>
        <v>0</v>
      </c>
      <c r="L37" s="11">
        <f>C37/100*1.3473241/0.36</f>
        <v>0</v>
      </c>
      <c r="M37" s="3">
        <v>3</v>
      </c>
    </row>
    <row r="38" spans="1:13">
      <c r="A38" s="72"/>
      <c r="B38" s="81" t="s">
        <v>1213</v>
      </c>
      <c r="C38" s="24"/>
      <c r="D38" s="5">
        <f>C38/100*271/0.8</f>
        <v>0</v>
      </c>
      <c r="E38" s="11">
        <f>C38/100*7.5/0.8</f>
        <v>0</v>
      </c>
      <c r="F38" s="11">
        <f>C38/100*1.4/0.8</f>
        <v>0</v>
      </c>
      <c r="G38" s="11">
        <f>C38/100*57.2/0.8</f>
        <v>0</v>
      </c>
      <c r="H38" s="70">
        <f>C38/100*0/0.8</f>
        <v>0</v>
      </c>
      <c r="I38" s="70"/>
      <c r="J38" s="70"/>
      <c r="K38" s="70"/>
      <c r="L38" s="11">
        <f>C38/100*3.8131815/0.8</f>
        <v>0</v>
      </c>
      <c r="M38" s="3">
        <v>1</v>
      </c>
    </row>
    <row r="39" spans="1:13">
      <c r="A39" s="72"/>
      <c r="B39" s="81" t="s">
        <v>1214</v>
      </c>
      <c r="C39" s="24"/>
      <c r="D39" s="5">
        <f>C39/100*271/0.8</f>
        <v>0</v>
      </c>
      <c r="E39" s="11">
        <f>C39/100*7.5/0.8</f>
        <v>0</v>
      </c>
      <c r="F39" s="11">
        <f>C39/100*1.4/0.8</f>
        <v>0</v>
      </c>
      <c r="G39" s="11">
        <f>C39/100*57.2/0.8</f>
        <v>0</v>
      </c>
      <c r="H39" s="70">
        <f>C39/100*0/0.8</f>
        <v>0</v>
      </c>
      <c r="I39" s="70"/>
      <c r="J39" s="70"/>
      <c r="K39" s="70"/>
      <c r="L39" s="11">
        <f>C39/100*0.5410904/0.8</f>
        <v>0</v>
      </c>
      <c r="M39" s="3">
        <v>1</v>
      </c>
    </row>
    <row r="40" spans="1:13">
      <c r="A40" s="72"/>
      <c r="B40" s="104" t="s">
        <v>411</v>
      </c>
      <c r="C40" s="4"/>
      <c r="D40" s="5">
        <f>C40/100*332</f>
        <v>0</v>
      </c>
      <c r="E40" s="11">
        <f>C40/100*8.7</f>
        <v>0</v>
      </c>
      <c r="F40" s="11">
        <f>C40/100*2</f>
        <v>0</v>
      </c>
      <c r="G40" s="11">
        <f>C40/100*69.7</f>
        <v>0</v>
      </c>
      <c r="H40" s="70">
        <f t="shared" ref="H40:H41" si="11">C40/100*0</f>
        <v>0</v>
      </c>
      <c r="I40" s="70"/>
      <c r="J40" s="70"/>
      <c r="K40" s="70"/>
      <c r="L40" s="11">
        <f>C40/100*5.5926662</f>
        <v>0</v>
      </c>
      <c r="M40" s="3">
        <v>1</v>
      </c>
    </row>
    <row r="41" spans="1:13">
      <c r="A41" s="72"/>
      <c r="B41" s="104" t="s">
        <v>1222</v>
      </c>
      <c r="C41" s="4"/>
      <c r="D41" s="5">
        <f>C41/100*332</f>
        <v>0</v>
      </c>
      <c r="E41" s="11">
        <f>C41/100*8.7</f>
        <v>0</v>
      </c>
      <c r="F41" s="11">
        <f>C41/100*2</f>
        <v>0</v>
      </c>
      <c r="G41" s="11">
        <f>C41/100*69.7</f>
        <v>0</v>
      </c>
      <c r="H41" s="70">
        <f t="shared" si="11"/>
        <v>0</v>
      </c>
      <c r="I41" s="70"/>
      <c r="J41" s="70"/>
      <c r="K41" s="70"/>
      <c r="L41" s="11">
        <f>C41/100*5.5926662*0.0981818</f>
        <v>0</v>
      </c>
      <c r="M41" s="3">
        <v>1</v>
      </c>
    </row>
    <row r="42" spans="1:13">
      <c r="A42" s="72"/>
      <c r="B42" s="81" t="s">
        <v>448</v>
      </c>
      <c r="C42" s="24"/>
      <c r="D42" s="5">
        <f>C42/100*151</f>
        <v>0</v>
      </c>
      <c r="E42" s="11">
        <f>C42/100*12.3</f>
        <v>0</v>
      </c>
      <c r="F42" s="11">
        <f>C42/100*10.3</f>
        <v>0</v>
      </c>
      <c r="G42" s="11">
        <f>C42/100*0.3</f>
        <v>0</v>
      </c>
      <c r="H42" s="70">
        <f>C42/100*420</f>
        <v>0</v>
      </c>
      <c r="I42" s="70"/>
      <c r="J42" s="70"/>
      <c r="K42" s="70"/>
      <c r="L42" s="70">
        <f>C42/100*0.4</f>
        <v>0</v>
      </c>
      <c r="M42" s="3">
        <v>3</v>
      </c>
    </row>
    <row r="43" spans="1:13">
      <c r="A43" s="72"/>
      <c r="B43" s="103" t="s">
        <v>366</v>
      </c>
      <c r="C43" s="24"/>
      <c r="D43" s="5">
        <f>C43/100*384</f>
        <v>0</v>
      </c>
      <c r="E43" s="11">
        <f>C43/100*0</f>
        <v>0</v>
      </c>
      <c r="F43" s="11">
        <f>C43/100*0</f>
        <v>0</v>
      </c>
      <c r="G43" s="11">
        <f>C43/100*99.2</f>
        <v>0</v>
      </c>
      <c r="H43" s="70">
        <f t="shared" ref="H43" si="12">C43/100*0</f>
        <v>0</v>
      </c>
      <c r="I43" s="70"/>
      <c r="J43" s="70"/>
      <c r="K43" s="70">
        <f>C43/100*0</f>
        <v>0</v>
      </c>
      <c r="L43" s="70">
        <f>C43/100*0.0025421</f>
        <v>0</v>
      </c>
      <c r="M43" s="19" t="s">
        <v>750</v>
      </c>
    </row>
    <row r="44" spans="1:13" ht="14.25" thickBot="1">
      <c r="A44" s="72"/>
      <c r="B44" s="93"/>
      <c r="C44" s="243"/>
      <c r="D44" s="135"/>
      <c r="E44" s="135"/>
      <c r="F44" s="135"/>
      <c r="G44" s="135"/>
      <c r="H44" s="137"/>
      <c r="I44" s="136"/>
      <c r="J44" s="136"/>
      <c r="K44" s="136"/>
      <c r="L44" s="137"/>
      <c r="M44" s="91"/>
    </row>
    <row r="45" spans="1:13">
      <c r="A45" s="72"/>
      <c r="B45" s="140" t="s">
        <v>759</v>
      </c>
      <c r="C45" s="141">
        <f>C10</f>
        <v>559</v>
      </c>
      <c r="D45" s="138">
        <f>SUM(D12:D44)</f>
        <v>543.18959999999993</v>
      </c>
      <c r="E45" s="138">
        <f t="shared" ref="E45:L45" si="13">SUM(E12:E44)</f>
        <v>21.015199999999993</v>
      </c>
      <c r="F45" s="138">
        <f t="shared" si="13"/>
        <v>15.2433</v>
      </c>
      <c r="G45" s="138">
        <f t="shared" si="13"/>
        <v>75.867800000000003</v>
      </c>
      <c r="H45" s="176">
        <f t="shared" si="13"/>
        <v>26.686999999999998</v>
      </c>
      <c r="I45" s="138">
        <f t="shared" si="13"/>
        <v>0.17899999999999999</v>
      </c>
      <c r="J45" s="138">
        <f t="shared" si="13"/>
        <v>0.996</v>
      </c>
      <c r="K45" s="138">
        <f t="shared" si="13"/>
        <v>4.6348000000000003</v>
      </c>
      <c r="L45" s="138">
        <f t="shared" si="13"/>
        <v>5.8333000000000004</v>
      </c>
      <c r="M45" s="139"/>
    </row>
    <row r="46" spans="1:13" ht="14.25" thickBot="1">
      <c r="A46" s="72"/>
      <c r="B46" s="142" t="str">
        <f>B10</f>
        <v>ラーメン(外食・白味噌)推定9/8</v>
      </c>
      <c r="C46" s="143">
        <v>100</v>
      </c>
      <c r="D46" s="144">
        <f>$C46/$C45*D45</f>
        <v>97.171663685152041</v>
      </c>
      <c r="E46" s="144">
        <f t="shared" ref="E46:L46" si="14">$C46/$C45*E45</f>
        <v>3.75942754919499</v>
      </c>
      <c r="F46" s="144">
        <f t="shared" si="14"/>
        <v>2.7268872987477639</v>
      </c>
      <c r="G46" s="144">
        <f t="shared" si="14"/>
        <v>13.572057245080503</v>
      </c>
      <c r="H46" s="247">
        <f t="shared" si="14"/>
        <v>4.7740608228980319</v>
      </c>
      <c r="I46" s="144">
        <f t="shared" si="14"/>
        <v>3.2021466905187833E-2</v>
      </c>
      <c r="J46" s="144">
        <f t="shared" si="14"/>
        <v>0.178175313059034</v>
      </c>
      <c r="K46" s="144">
        <f t="shared" si="14"/>
        <v>0.82912343470483008</v>
      </c>
      <c r="L46" s="144">
        <f t="shared" si="14"/>
        <v>1.0435241502683363</v>
      </c>
      <c r="M46" s="144"/>
    </row>
    <row r="47" spans="1:13">
      <c r="A47" s="72"/>
      <c r="B47" s="112"/>
      <c r="C47" s="78"/>
      <c r="D47" s="76"/>
      <c r="E47" s="76"/>
      <c r="F47" s="76"/>
      <c r="G47" s="76"/>
      <c r="H47" s="76"/>
      <c r="I47" s="129"/>
      <c r="J47" s="129"/>
      <c r="K47" s="129"/>
      <c r="L47" s="119"/>
      <c r="M47" s="71"/>
    </row>
    <row r="48" spans="1:13">
      <c r="A48" s="72"/>
      <c r="B48" s="77"/>
      <c r="C48" s="78"/>
      <c r="D48" s="76"/>
      <c r="E48" s="76"/>
      <c r="F48" s="76"/>
      <c r="G48" s="76"/>
      <c r="H48" s="76"/>
      <c r="I48" s="129"/>
      <c r="J48" s="129"/>
      <c r="K48" s="129"/>
      <c r="L48" s="119"/>
      <c r="M48" s="71"/>
    </row>
    <row r="49" spans="5:13">
      <c r="E49" s="14"/>
      <c r="F49" s="14"/>
      <c r="G49" s="14"/>
      <c r="H49" s="14"/>
      <c r="I49" s="14"/>
      <c r="J49" s="14"/>
      <c r="K49" s="14"/>
      <c r="L49" s="14"/>
      <c r="M49" s="88"/>
    </row>
    <row r="50" spans="5:13">
      <c r="E50" s="14"/>
      <c r="F50" s="14"/>
      <c r="G50" s="14"/>
      <c r="H50" s="14"/>
      <c r="I50" s="14"/>
      <c r="J50" s="14"/>
      <c r="K50" s="14"/>
      <c r="L50" s="14"/>
      <c r="M50" s="88"/>
    </row>
    <row r="51" spans="5:13">
      <c r="E51" s="14"/>
      <c r="F51" s="14"/>
      <c r="G51" s="14"/>
      <c r="H51" s="14"/>
      <c r="I51" s="14"/>
      <c r="J51" s="14"/>
      <c r="K51" s="14"/>
      <c r="L51" s="14"/>
      <c r="M51" s="88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51"/>
  <sheetViews>
    <sheetView zoomScale="160" zoomScaleNormal="160" workbookViewId="0">
      <selection sqref="A1:XFD1048576"/>
    </sheetView>
  </sheetViews>
  <sheetFormatPr defaultRowHeight="13.5"/>
  <cols>
    <col min="1" max="1" width="2" customWidth="1"/>
    <col min="2" max="2" width="29.5" bestFit="1" customWidth="1"/>
    <col min="3" max="3" width="12.25" bestFit="1" customWidth="1"/>
    <col min="4" max="4" width="7.5" bestFit="1" customWidth="1"/>
    <col min="5" max="5" width="7.125" style="126" bestFit="1" customWidth="1"/>
    <col min="6" max="6" width="6.5" style="126" bestFit="1" customWidth="1"/>
    <col min="7" max="7" width="7.125" style="126" bestFit="1" customWidth="1"/>
    <col min="8" max="8" width="6.5" style="126" bestFit="1" customWidth="1"/>
    <col min="9" max="9" width="5.5" style="126" bestFit="1" customWidth="1"/>
    <col min="10" max="10" width="6.5" style="126" bestFit="1" customWidth="1"/>
    <col min="11" max="11" width="5.875" style="126" customWidth="1"/>
    <col min="12" max="12" width="7.125" style="126" bestFit="1" customWidth="1"/>
    <col min="13" max="13" width="7.125" bestFit="1" customWidth="1"/>
  </cols>
  <sheetData>
    <row r="1" spans="1:13" ht="41.25" thickBot="1">
      <c r="A1" s="72"/>
      <c r="B1" s="104" t="s">
        <v>0</v>
      </c>
      <c r="C1" s="3" t="s">
        <v>1</v>
      </c>
      <c r="D1" s="3" t="s">
        <v>756</v>
      </c>
      <c r="E1" s="96" t="s">
        <v>757</v>
      </c>
      <c r="F1" s="3" t="s">
        <v>4</v>
      </c>
      <c r="G1" s="96" t="s">
        <v>760</v>
      </c>
      <c r="H1" s="120" t="s">
        <v>1148</v>
      </c>
      <c r="I1" s="131" t="s">
        <v>6</v>
      </c>
      <c r="J1" s="131" t="s">
        <v>7</v>
      </c>
      <c r="K1" s="131" t="s">
        <v>8</v>
      </c>
      <c r="L1" s="122" t="s">
        <v>9</v>
      </c>
      <c r="M1" s="89" t="s">
        <v>746</v>
      </c>
    </row>
    <row r="2" spans="1:13">
      <c r="A2" s="72"/>
      <c r="B2" s="140" t="s">
        <v>759</v>
      </c>
      <c r="C2" s="141">
        <f>C10</f>
        <v>561</v>
      </c>
      <c r="D2" s="138">
        <f>SUM(D12:D44)</f>
        <v>592.92333333333329</v>
      </c>
      <c r="E2" s="138">
        <f t="shared" ref="E2:L2" si="0">SUM(E12:E44)</f>
        <v>20.298333333333332</v>
      </c>
      <c r="F2" s="138">
        <f t="shared" si="0"/>
        <v>17.493000000000002</v>
      </c>
      <c r="G2" s="138">
        <f t="shared" si="0"/>
        <v>91.187000000000012</v>
      </c>
      <c r="H2" s="138">
        <f t="shared" si="0"/>
        <v>19.2</v>
      </c>
      <c r="I2" s="138">
        <f t="shared" si="0"/>
        <v>3.492</v>
      </c>
      <c r="J2" s="138">
        <f t="shared" si="0"/>
        <v>13.035000000000002</v>
      </c>
      <c r="K2" s="138">
        <f t="shared" si="0"/>
        <v>16.527000000000001</v>
      </c>
      <c r="L2" s="138">
        <f t="shared" si="0"/>
        <v>12.584871248666666</v>
      </c>
      <c r="M2" s="138"/>
    </row>
    <row r="3" spans="1:13" ht="14.25" thickBot="1">
      <c r="A3" s="72"/>
      <c r="B3" s="142" t="str">
        <f>B10</f>
        <v>切干大根・天ぷら・玉葱炒め9/18</v>
      </c>
      <c r="C3" s="143">
        <v>100</v>
      </c>
      <c r="D3" s="144">
        <f>$C$3/$C$2*D2</f>
        <v>105.69043374925727</v>
      </c>
      <c r="E3" s="144">
        <f t="shared" ref="E3:L3" si="1">$C$3/$C$2*E2</f>
        <v>3.6182412358882945</v>
      </c>
      <c r="F3" s="144">
        <f t="shared" si="1"/>
        <v>3.1181818181818186</v>
      </c>
      <c r="G3" s="144">
        <f t="shared" si="1"/>
        <v>16.254367201426028</v>
      </c>
      <c r="H3" s="144">
        <f t="shared" si="1"/>
        <v>3.4224598930481283</v>
      </c>
      <c r="I3" s="144">
        <f t="shared" si="1"/>
        <v>0.62245989304812832</v>
      </c>
      <c r="J3" s="144">
        <f t="shared" si="1"/>
        <v>2.3235294117647061</v>
      </c>
      <c r="K3" s="144">
        <f t="shared" si="1"/>
        <v>2.9459893048128345</v>
      </c>
      <c r="L3" s="144">
        <f t="shared" si="1"/>
        <v>2.243292557694593</v>
      </c>
      <c r="M3" s="144"/>
    </row>
    <row r="6" spans="1:13">
      <c r="C6" t="s">
        <v>1152</v>
      </c>
      <c r="D6" s="13">
        <v>1129</v>
      </c>
      <c r="E6" s="13">
        <v>333</v>
      </c>
      <c r="F6" s="13">
        <f>D6-E6</f>
        <v>796</v>
      </c>
    </row>
    <row r="7" spans="1:13">
      <c r="C7" t="s">
        <v>1153</v>
      </c>
      <c r="D7" s="13">
        <v>0</v>
      </c>
      <c r="E7" s="13">
        <v>0</v>
      </c>
      <c r="F7" s="43">
        <f>D7-E7</f>
        <v>0</v>
      </c>
    </row>
    <row r="8" spans="1:13">
      <c r="C8" t="s">
        <v>1154</v>
      </c>
      <c r="D8" s="13">
        <v>0</v>
      </c>
      <c r="E8" s="13">
        <v>0</v>
      </c>
      <c r="F8" s="13">
        <f>D8-E8</f>
        <v>0</v>
      </c>
    </row>
    <row r="9" spans="1:13">
      <c r="B9" s="14" t="s">
        <v>1164</v>
      </c>
    </row>
    <row r="10" spans="1:13">
      <c r="A10" s="72"/>
      <c r="B10" s="104" t="s">
        <v>1276</v>
      </c>
      <c r="C10" s="125">
        <v>561</v>
      </c>
      <c r="D10" s="72"/>
      <c r="E10" s="127"/>
      <c r="F10" s="127"/>
      <c r="G10" s="127"/>
      <c r="H10" s="127"/>
      <c r="I10" s="127"/>
      <c r="J10" s="127"/>
      <c r="K10" s="127"/>
      <c r="L10" s="127"/>
      <c r="M10" s="72"/>
    </row>
    <row r="11" spans="1:13" ht="52.5" customHeight="1">
      <c r="A11" s="72"/>
      <c r="B11" s="104" t="s">
        <v>0</v>
      </c>
      <c r="C11" s="3" t="s">
        <v>1</v>
      </c>
      <c r="D11" s="3" t="s">
        <v>756</v>
      </c>
      <c r="E11" s="96" t="s">
        <v>757</v>
      </c>
      <c r="F11" s="3" t="s">
        <v>4</v>
      </c>
      <c r="G11" s="96" t="s">
        <v>760</v>
      </c>
      <c r="H11" s="120" t="s">
        <v>1148</v>
      </c>
      <c r="I11" s="131" t="s">
        <v>6</v>
      </c>
      <c r="J11" s="131" t="s">
        <v>7</v>
      </c>
      <c r="K11" s="131" t="s">
        <v>8</v>
      </c>
      <c r="L11" s="122" t="s">
        <v>9</v>
      </c>
      <c r="M11" s="89" t="s">
        <v>746</v>
      </c>
    </row>
    <row r="12" spans="1:13">
      <c r="A12" s="72"/>
      <c r="B12" s="104" t="s">
        <v>227</v>
      </c>
      <c r="C12" s="24">
        <v>65</v>
      </c>
      <c r="D12" s="5">
        <f>C12/100*279</f>
        <v>181.35</v>
      </c>
      <c r="E12" s="11">
        <f>C12/100*5.7</f>
        <v>3.7050000000000001</v>
      </c>
      <c r="F12" s="11">
        <f>C12/100*0.5</f>
        <v>0.32500000000000001</v>
      </c>
      <c r="G12" s="11">
        <f>C12/100*67.5</f>
        <v>43.875</v>
      </c>
      <c r="H12" s="70">
        <f>C12/100*0</f>
        <v>0</v>
      </c>
      <c r="I12" s="70">
        <f>C12/100*3.6</f>
        <v>2.3400000000000003</v>
      </c>
      <c r="J12" s="70">
        <f>C12/100*17.1</f>
        <v>11.115000000000002</v>
      </c>
      <c r="K12" s="70">
        <f>C12/100*20.7</f>
        <v>13.455</v>
      </c>
      <c r="L12" s="11">
        <f>C12/100*0.6863726</f>
        <v>0.44614218999999999</v>
      </c>
      <c r="M12" s="3">
        <v>6</v>
      </c>
    </row>
    <row r="13" spans="1:13">
      <c r="A13" s="72"/>
      <c r="B13" s="81" t="s">
        <v>1119</v>
      </c>
      <c r="C13" s="4">
        <v>96</v>
      </c>
      <c r="D13" s="5">
        <f>C13/100*135</f>
        <v>129.6</v>
      </c>
      <c r="E13" s="11">
        <f>C13/100*9.8</f>
        <v>9.4079999999999995</v>
      </c>
      <c r="F13" s="11">
        <f>C13/100*3.1</f>
        <v>2.976</v>
      </c>
      <c r="G13" s="11">
        <f>C13/100*16.9</f>
        <v>16.223999999999997</v>
      </c>
      <c r="H13" s="11">
        <f>C13/100*20</f>
        <v>19.2</v>
      </c>
      <c r="I13" s="70"/>
      <c r="J13" s="70"/>
      <c r="K13" s="70"/>
      <c r="L13" s="11">
        <f>C13/100*2.0947077</f>
        <v>2.0109193919999999</v>
      </c>
      <c r="M13" s="3">
        <v>3</v>
      </c>
    </row>
    <row r="14" spans="1:13">
      <c r="A14" s="72"/>
      <c r="B14" s="81" t="s">
        <v>981</v>
      </c>
      <c r="C14" s="4">
        <v>192</v>
      </c>
      <c r="D14" s="5">
        <f>C14/100*37</f>
        <v>71.039999999999992</v>
      </c>
      <c r="E14" s="11">
        <f>C14/100*1</f>
        <v>1.92</v>
      </c>
      <c r="F14" s="11">
        <f>C14/100*0.1</f>
        <v>0.192</v>
      </c>
      <c r="G14" s="11">
        <f>C14/100*8.8</f>
        <v>16.896000000000001</v>
      </c>
      <c r="H14" s="11">
        <f>C14/100*0</f>
        <v>0</v>
      </c>
      <c r="I14" s="70">
        <f>C14/100*0.6</f>
        <v>1.1519999999999999</v>
      </c>
      <c r="J14" s="70">
        <f>C14/100*1</f>
        <v>1.92</v>
      </c>
      <c r="K14" s="70">
        <f>C14/100*1.6</f>
        <v>3.0720000000000001</v>
      </c>
      <c r="L14" s="70">
        <f>C14/100*0</f>
        <v>0</v>
      </c>
      <c r="M14" s="3">
        <v>6</v>
      </c>
    </row>
    <row r="15" spans="1:13">
      <c r="A15" s="72"/>
      <c r="B15" s="81" t="s">
        <v>605</v>
      </c>
      <c r="C15" s="24">
        <v>14</v>
      </c>
      <c r="D15" s="5">
        <f>C15/100*126/0.14</f>
        <v>125.99999999999999</v>
      </c>
      <c r="E15" s="11">
        <f>C15/100*0/0.14</f>
        <v>0</v>
      </c>
      <c r="F15" s="11">
        <f>C15/100*14/0.14</f>
        <v>14</v>
      </c>
      <c r="G15" s="11">
        <f>C15/100*0/0.14</f>
        <v>0</v>
      </c>
      <c r="H15" s="70">
        <f t="shared" ref="H15:H17" si="2">C15/100*0</f>
        <v>0</v>
      </c>
      <c r="I15" s="70"/>
      <c r="J15" s="70"/>
      <c r="K15" s="70"/>
      <c r="L15" s="70"/>
      <c r="M15" s="3">
        <v>5</v>
      </c>
    </row>
    <row r="16" spans="1:13">
      <c r="A16" s="72"/>
      <c r="B16" s="104" t="s">
        <v>883</v>
      </c>
      <c r="C16" s="24">
        <v>58</v>
      </c>
      <c r="D16" s="5">
        <f>C16/100*14/0.15</f>
        <v>54.133333333333333</v>
      </c>
      <c r="E16" s="11">
        <f>C16/100*1.1/0.15</f>
        <v>4.2533333333333339</v>
      </c>
      <c r="F16" s="11">
        <f>C16/100*0/0.15</f>
        <v>0</v>
      </c>
      <c r="G16" s="11">
        <f>C16/100*2.1/0.15</f>
        <v>8.120000000000001</v>
      </c>
      <c r="H16" s="70">
        <f t="shared" si="2"/>
        <v>0</v>
      </c>
      <c r="I16" s="70"/>
      <c r="J16" s="70"/>
      <c r="K16" s="70"/>
      <c r="L16" s="11">
        <f>C16/100*1.9828543/0.15</f>
        <v>7.6670366266666674</v>
      </c>
      <c r="M16" s="19" t="s">
        <v>750</v>
      </c>
    </row>
    <row r="17" spans="1:13">
      <c r="A17" s="72"/>
      <c r="B17" s="104" t="s">
        <v>999</v>
      </c>
      <c r="C17" s="24">
        <v>22</v>
      </c>
      <c r="D17" s="5">
        <f>C17/100*140</f>
        <v>30.8</v>
      </c>
      <c r="E17" s="11">
        <f>C17/100*4.6</f>
        <v>1.012</v>
      </c>
      <c r="F17" s="11">
        <f>C17/100*0</f>
        <v>0</v>
      </c>
      <c r="G17" s="11">
        <f>C17/100*27.6</f>
        <v>6.0720000000000001</v>
      </c>
      <c r="H17" s="70">
        <f t="shared" si="2"/>
        <v>0</v>
      </c>
      <c r="I17" s="70"/>
      <c r="J17" s="70"/>
      <c r="K17" s="70"/>
      <c r="L17" s="11">
        <f>C17/100*11.185332</f>
        <v>2.4607730400000003</v>
      </c>
      <c r="M17" s="19" t="s">
        <v>750</v>
      </c>
    </row>
    <row r="18" spans="1:13">
      <c r="A18" s="72"/>
      <c r="B18" s="103"/>
      <c r="C18" s="24"/>
      <c r="D18" s="5"/>
      <c r="E18" s="11"/>
      <c r="F18" s="11"/>
      <c r="G18" s="11"/>
      <c r="H18" s="70"/>
      <c r="I18" s="70"/>
      <c r="J18" s="70"/>
      <c r="K18" s="70"/>
      <c r="L18" s="70"/>
      <c r="M18" s="19"/>
    </row>
    <row r="19" spans="1:13">
      <c r="A19" s="72"/>
      <c r="B19" s="104"/>
      <c r="C19" s="24"/>
      <c r="D19" s="5"/>
      <c r="E19" s="11"/>
      <c r="F19" s="11"/>
      <c r="G19" s="11"/>
      <c r="H19" s="70"/>
      <c r="I19" s="70"/>
      <c r="J19" s="70"/>
      <c r="K19" s="70"/>
      <c r="L19" s="11"/>
      <c r="M19" s="19"/>
    </row>
    <row r="20" spans="1:13">
      <c r="A20" s="72"/>
      <c r="B20" s="104" t="s">
        <v>1059</v>
      </c>
      <c r="C20" s="24"/>
      <c r="D20" s="5">
        <f>C20/100*41/0.13</f>
        <v>0</v>
      </c>
      <c r="E20" s="11">
        <f>C20/100*8.4/0.13</f>
        <v>0</v>
      </c>
      <c r="F20" s="11">
        <f>C20/100*0.5/0.13</f>
        <v>0</v>
      </c>
      <c r="G20" s="11">
        <f>C20/100*0.01/0.13</f>
        <v>0</v>
      </c>
      <c r="H20" s="70">
        <f>C20/100*103.6/0.13</f>
        <v>0</v>
      </c>
      <c r="I20" s="70"/>
      <c r="J20" s="70"/>
      <c r="K20" s="70"/>
      <c r="L20" s="11">
        <f>C20/100*0.3965708/0.13</f>
        <v>0</v>
      </c>
      <c r="M20" s="3">
        <v>3</v>
      </c>
    </row>
    <row r="21" spans="1:13">
      <c r="A21" s="72"/>
      <c r="B21" s="104" t="s">
        <v>999</v>
      </c>
      <c r="C21" s="24"/>
      <c r="D21" s="5">
        <f>C21/100*140</f>
        <v>0</v>
      </c>
      <c r="E21" s="11">
        <f>C21/100*4.6</f>
        <v>0</v>
      </c>
      <c r="F21" s="11">
        <f>C21/100*0</f>
        <v>0</v>
      </c>
      <c r="G21" s="11">
        <f>C21/100*27.6</f>
        <v>0</v>
      </c>
      <c r="H21" s="70">
        <f t="shared" ref="H21:H24" si="3">C21/100*0</f>
        <v>0</v>
      </c>
      <c r="I21" s="70"/>
      <c r="J21" s="70"/>
      <c r="K21" s="70"/>
      <c r="L21" s="11">
        <f>C21/100*11.185332</f>
        <v>0</v>
      </c>
      <c r="M21" s="19" t="s">
        <v>750</v>
      </c>
    </row>
    <row r="22" spans="1:13">
      <c r="A22" s="72"/>
      <c r="B22" s="104" t="s">
        <v>413</v>
      </c>
      <c r="C22" s="24"/>
      <c r="D22" s="5">
        <f>C22/100*279</f>
        <v>0</v>
      </c>
      <c r="E22" s="11">
        <f>C22/100*11.2</f>
        <v>0</v>
      </c>
      <c r="F22" s="11">
        <f>C22/100*1.3</f>
        <v>0</v>
      </c>
      <c r="G22" s="11">
        <f>C22/100*55.7</f>
        <v>0</v>
      </c>
      <c r="H22" s="70">
        <f t="shared" si="3"/>
        <v>0</v>
      </c>
      <c r="I22" s="70"/>
      <c r="J22" s="70"/>
      <c r="K22" s="70">
        <f>C22/100*0.15</f>
        <v>0</v>
      </c>
      <c r="L22" s="11">
        <f>C22/100*1.8303271</f>
        <v>0</v>
      </c>
      <c r="M22" s="3">
        <v>1</v>
      </c>
    </row>
    <row r="23" spans="1:13">
      <c r="A23" s="72"/>
      <c r="B23" s="81"/>
      <c r="C23" s="4"/>
      <c r="D23" s="5"/>
      <c r="E23" s="11"/>
      <c r="F23" s="11"/>
      <c r="G23" s="11"/>
      <c r="H23" s="70"/>
      <c r="I23" s="70"/>
      <c r="J23" s="70"/>
      <c r="K23" s="70"/>
      <c r="L23" s="11"/>
      <c r="M23" s="19"/>
    </row>
    <row r="24" spans="1:13">
      <c r="A24" s="72"/>
      <c r="B24" s="104" t="s">
        <v>338</v>
      </c>
      <c r="C24" s="24"/>
      <c r="D24" s="5">
        <f>C24/100*43</f>
        <v>0</v>
      </c>
      <c r="E24" s="11">
        <f>C24/100*2.2</f>
        <v>0</v>
      </c>
      <c r="F24" s="11">
        <f>C24/100*0</f>
        <v>0</v>
      </c>
      <c r="G24" s="11">
        <f>C24/100*8.3</f>
        <v>0</v>
      </c>
      <c r="H24" s="70">
        <f t="shared" si="3"/>
        <v>0</v>
      </c>
      <c r="I24" s="70"/>
      <c r="J24" s="70"/>
      <c r="K24" s="70">
        <f>C24/100*0.5</f>
        <v>0</v>
      </c>
      <c r="L24" s="70">
        <f>C24/100*3.0505452</f>
        <v>0</v>
      </c>
      <c r="M24" s="19" t="s">
        <v>750</v>
      </c>
    </row>
    <row r="25" spans="1:13">
      <c r="A25" s="72"/>
      <c r="B25" s="81" t="s">
        <v>1201</v>
      </c>
      <c r="C25" s="24"/>
      <c r="D25" s="5">
        <f>C25/100*329</f>
        <v>0</v>
      </c>
      <c r="E25" s="11">
        <f>C25/100*8.2</f>
        <v>0</v>
      </c>
      <c r="F25" s="11">
        <f>C25/100*1.3</f>
        <v>0</v>
      </c>
      <c r="G25" s="11">
        <f>C25/100*71</f>
        <v>0</v>
      </c>
      <c r="H25" s="70">
        <f t="shared" ref="H25:H31" si="4">C25/100*0</f>
        <v>0</v>
      </c>
      <c r="I25" s="70"/>
      <c r="J25" s="70"/>
      <c r="K25" s="70"/>
      <c r="L25" s="11">
        <f>C25/100*0.8007681</f>
        <v>0</v>
      </c>
      <c r="M25" s="3">
        <v>1</v>
      </c>
    </row>
    <row r="26" spans="1:13">
      <c r="A26" s="72"/>
      <c r="B26" s="81" t="s">
        <v>1202</v>
      </c>
      <c r="C26" s="24"/>
      <c r="D26" s="5">
        <f>C26/100*329</f>
        <v>0</v>
      </c>
      <c r="E26" s="11">
        <f>C26/100*8.2</f>
        <v>0</v>
      </c>
      <c r="F26" s="11">
        <f>C26/100*1.3</f>
        <v>0</v>
      </c>
      <c r="G26" s="11">
        <f>C26/100*71</f>
        <v>0</v>
      </c>
      <c r="H26" s="70">
        <f t="shared" si="4"/>
        <v>0</v>
      </c>
      <c r="I26" s="70"/>
      <c r="J26" s="70"/>
      <c r="K26" s="70"/>
      <c r="L26" s="11">
        <f>C26/100*5.5926662</f>
        <v>0</v>
      </c>
      <c r="M26" s="3">
        <v>1</v>
      </c>
    </row>
    <row r="27" spans="1:13">
      <c r="A27" s="72"/>
      <c r="B27" s="104"/>
      <c r="C27" s="4"/>
      <c r="D27" s="5"/>
      <c r="E27" s="11"/>
      <c r="F27" s="11"/>
      <c r="G27" s="11"/>
      <c r="H27" s="70"/>
      <c r="I27" s="70"/>
      <c r="J27" s="70"/>
      <c r="K27" s="70"/>
      <c r="L27" s="11"/>
      <c r="M27" s="3"/>
    </row>
    <row r="28" spans="1:13">
      <c r="A28" s="72"/>
      <c r="B28" s="81" t="s">
        <v>205</v>
      </c>
      <c r="C28" s="24"/>
      <c r="D28" s="5">
        <f>C28/100*23</f>
        <v>0</v>
      </c>
      <c r="E28" s="11">
        <f>C28/100*1.3</f>
        <v>0</v>
      </c>
      <c r="F28" s="11">
        <f>C28/100*0.2</f>
        <v>0</v>
      </c>
      <c r="G28" s="11">
        <f>C28/100*5.2</f>
        <v>0</v>
      </c>
      <c r="H28" s="70">
        <f t="shared" si="4"/>
        <v>0</v>
      </c>
      <c r="I28" s="70">
        <f>C28/100*0.4</f>
        <v>0</v>
      </c>
      <c r="J28" s="70">
        <f>C28/100*1.4</f>
        <v>0</v>
      </c>
      <c r="K28" s="70">
        <f>C28/100*1.8</f>
        <v>0</v>
      </c>
      <c r="L28" s="70">
        <f>C28/100*0</f>
        <v>0</v>
      </c>
      <c r="M28" s="3">
        <v>6</v>
      </c>
    </row>
    <row r="29" spans="1:13">
      <c r="A29" s="72"/>
      <c r="B29" s="81" t="s">
        <v>523</v>
      </c>
      <c r="C29" s="24"/>
      <c r="D29" s="5">
        <f>C29/100*37</f>
        <v>0</v>
      </c>
      <c r="E29" s="11">
        <f>C29/100*0.6</f>
        <v>0</v>
      </c>
      <c r="F29" s="11">
        <f>C29/100*0.1</f>
        <v>0</v>
      </c>
      <c r="G29" s="11">
        <f>C29/100*9.1</f>
        <v>0</v>
      </c>
      <c r="H29" s="70">
        <f t="shared" si="4"/>
        <v>0</v>
      </c>
      <c r="I29" s="70">
        <f>C29/100*0.7</f>
        <v>0</v>
      </c>
      <c r="J29" s="70">
        <f>C29/100*2</f>
        <v>0</v>
      </c>
      <c r="K29" s="70">
        <f>C29/100*2.7</f>
        <v>0</v>
      </c>
      <c r="L29" s="70">
        <f>C29/100*0.1</f>
        <v>0</v>
      </c>
      <c r="M29" s="3">
        <v>6</v>
      </c>
    </row>
    <row r="30" spans="1:13">
      <c r="A30" s="72"/>
      <c r="B30" s="104" t="s">
        <v>371</v>
      </c>
      <c r="C30" s="24"/>
      <c r="D30" s="5">
        <f>C30/100*0</f>
        <v>0</v>
      </c>
      <c r="E30" s="11">
        <f>C30/100*0</f>
        <v>0</v>
      </c>
      <c r="F30" s="11">
        <f>C30/100*0</f>
        <v>0</v>
      </c>
      <c r="G30" s="11">
        <f>C30/100*0</f>
        <v>0</v>
      </c>
      <c r="H30" s="70">
        <f t="shared" si="4"/>
        <v>0</v>
      </c>
      <c r="I30" s="70">
        <f>C30/100*0</f>
        <v>0</v>
      </c>
      <c r="J30" s="70">
        <f>C30/100*0</f>
        <v>0</v>
      </c>
      <c r="K30" s="70">
        <f>C30/100*0</f>
        <v>0</v>
      </c>
      <c r="L30" s="11">
        <f>C30/100*99.142719</f>
        <v>0</v>
      </c>
      <c r="M30" s="19" t="s">
        <v>750</v>
      </c>
    </row>
    <row r="31" spans="1:13">
      <c r="A31" s="72"/>
      <c r="B31" s="103" t="s">
        <v>366</v>
      </c>
      <c r="C31" s="24"/>
      <c r="D31" s="5">
        <f>C31/100*384</f>
        <v>0</v>
      </c>
      <c r="E31" s="11">
        <f>C31/100*0</f>
        <v>0</v>
      </c>
      <c r="F31" s="11">
        <f>C31/100*0</f>
        <v>0</v>
      </c>
      <c r="G31" s="11">
        <f>C31/100*99.2</f>
        <v>0</v>
      </c>
      <c r="H31" s="70">
        <f t="shared" si="4"/>
        <v>0</v>
      </c>
      <c r="I31" s="70"/>
      <c r="J31" s="70"/>
      <c r="K31" s="70">
        <f>C31/100*0</f>
        <v>0</v>
      </c>
      <c r="L31" s="70">
        <f>C31/100*0.0025421</f>
        <v>0</v>
      </c>
      <c r="M31" s="19" t="s">
        <v>750</v>
      </c>
    </row>
    <row r="32" spans="1:13">
      <c r="A32" s="72"/>
      <c r="B32" s="81"/>
      <c r="C32" s="4"/>
      <c r="D32" s="5"/>
      <c r="E32" s="11"/>
      <c r="F32" s="11"/>
      <c r="G32" s="11"/>
      <c r="H32" s="11"/>
      <c r="I32" s="70"/>
      <c r="J32" s="70"/>
      <c r="K32" s="70"/>
      <c r="L32" s="11"/>
      <c r="M32" s="19"/>
    </row>
    <row r="33" spans="1:13">
      <c r="A33" s="72"/>
      <c r="B33" s="104"/>
      <c r="C33" s="24"/>
      <c r="D33" s="5"/>
      <c r="E33" s="11"/>
      <c r="F33" s="11"/>
      <c r="G33" s="11"/>
      <c r="H33" s="70"/>
      <c r="I33" s="70"/>
      <c r="J33" s="70"/>
      <c r="K33" s="70"/>
      <c r="L33" s="70"/>
      <c r="M33" s="19"/>
    </row>
    <row r="34" spans="1:13">
      <c r="A34" s="72"/>
      <c r="B34" s="81" t="s">
        <v>448</v>
      </c>
      <c r="C34" s="4"/>
      <c r="D34" s="5">
        <f>C34/100*151</f>
        <v>0</v>
      </c>
      <c r="E34" s="11">
        <f>C34/100*12.3</f>
        <v>0</v>
      </c>
      <c r="F34" s="11">
        <f>C34/100*10.3</f>
        <v>0</v>
      </c>
      <c r="G34" s="11">
        <f>C34/100*0.3</f>
        <v>0</v>
      </c>
      <c r="H34" s="70">
        <f>C34/100*420</f>
        <v>0</v>
      </c>
      <c r="I34" s="70"/>
      <c r="J34" s="70"/>
      <c r="K34" s="70"/>
      <c r="L34" s="70">
        <f>C34/100*0.4</f>
        <v>0</v>
      </c>
      <c r="M34" s="3">
        <v>3</v>
      </c>
    </row>
    <row r="35" spans="1:13">
      <c r="A35" s="72"/>
      <c r="B35" s="104" t="s">
        <v>414</v>
      </c>
      <c r="C35" s="4"/>
      <c r="D35" s="5">
        <f>C35/100*114</f>
        <v>0</v>
      </c>
      <c r="E35" s="11">
        <f>C35/100*4.8</f>
        <v>0</v>
      </c>
      <c r="F35" s="11">
        <f>C35/100*0.7</f>
        <v>0</v>
      </c>
      <c r="G35" s="11">
        <f>C35/100*22.1</f>
        <v>0</v>
      </c>
      <c r="H35" s="70">
        <f t="shared" ref="H35:H41" si="5">C35/100*0</f>
        <v>0</v>
      </c>
      <c r="I35" s="70"/>
      <c r="J35" s="70"/>
      <c r="K35" s="70">
        <f>C35/100*1.5</f>
        <v>0</v>
      </c>
      <c r="L35" s="11">
        <f>C35/100*0.127106</f>
        <v>0</v>
      </c>
      <c r="M35" s="3">
        <v>1</v>
      </c>
    </row>
    <row r="36" spans="1:13">
      <c r="A36" s="72"/>
      <c r="B36" s="104" t="s">
        <v>684</v>
      </c>
      <c r="C36" s="4"/>
      <c r="D36" s="5">
        <f>C36/100*88/2</f>
        <v>0</v>
      </c>
      <c r="E36" s="11">
        <f>C36/100*4.4/2</f>
        <v>0</v>
      </c>
      <c r="F36" s="11">
        <f>C36/100*0/2</f>
        <v>0</v>
      </c>
      <c r="G36" s="11">
        <f>C36/100*17.4/2</f>
        <v>0</v>
      </c>
      <c r="H36" s="70">
        <f t="shared" si="5"/>
        <v>0</v>
      </c>
      <c r="I36" s="70"/>
      <c r="J36" s="70"/>
      <c r="K36" s="70"/>
      <c r="L36" s="11">
        <f>C36/100*6.6/2</f>
        <v>0</v>
      </c>
      <c r="M36" s="19" t="s">
        <v>750</v>
      </c>
    </row>
    <row r="37" spans="1:13">
      <c r="A37" s="72"/>
      <c r="B37" s="104" t="s">
        <v>1227</v>
      </c>
      <c r="C37" s="4"/>
      <c r="D37" s="5">
        <f>C37/100*279</f>
        <v>0</v>
      </c>
      <c r="E37" s="11">
        <f>C37/100*11.2</f>
        <v>0</v>
      </c>
      <c r="F37" s="11">
        <f>C37/100*1.3</f>
        <v>0</v>
      </c>
      <c r="G37" s="11">
        <f>C37/100*55.7</f>
        <v>0</v>
      </c>
      <c r="H37" s="70">
        <f t="shared" si="5"/>
        <v>0</v>
      </c>
      <c r="I37" s="70"/>
      <c r="J37" s="70"/>
      <c r="K37" s="70">
        <f>C37/100*0.15</f>
        <v>0</v>
      </c>
      <c r="L37" s="11">
        <f>C37/100*1.8303271*0.2</f>
        <v>0</v>
      </c>
      <c r="M37" s="3">
        <v>1</v>
      </c>
    </row>
    <row r="38" spans="1:13">
      <c r="A38" s="72"/>
      <c r="B38" s="81" t="s">
        <v>1093</v>
      </c>
      <c r="C38" s="4"/>
      <c r="D38" s="5">
        <f>C38/100*49</f>
        <v>0</v>
      </c>
      <c r="E38" s="11">
        <f>C38/100*2</f>
        <v>0</v>
      </c>
      <c r="F38" s="11">
        <f>C38/100*0</f>
        <v>0</v>
      </c>
      <c r="G38" s="11">
        <f>C38/100*9.4</f>
        <v>0</v>
      </c>
      <c r="H38" s="70">
        <f t="shared" si="5"/>
        <v>0</v>
      </c>
      <c r="I38" s="70"/>
      <c r="J38" s="70"/>
      <c r="K38" s="70"/>
      <c r="L38" s="11">
        <f>C38/100*3.3047573</f>
        <v>0</v>
      </c>
      <c r="M38" s="19" t="s">
        <v>750</v>
      </c>
    </row>
    <row r="39" spans="1:13">
      <c r="A39" s="72"/>
      <c r="B39" s="81" t="s">
        <v>1268</v>
      </c>
      <c r="C39" s="4"/>
      <c r="D39" s="5">
        <f>C39/100*339</f>
        <v>0</v>
      </c>
      <c r="E39" s="11">
        <f>C39/100*9.2</f>
        <v>0</v>
      </c>
      <c r="F39" s="11">
        <f>C39/100*1.7</f>
        <v>0</v>
      </c>
      <c r="G39" s="11">
        <f>C39/100*71.7</f>
        <v>0</v>
      </c>
      <c r="H39" s="11">
        <f t="shared" si="5"/>
        <v>0</v>
      </c>
      <c r="I39" s="70"/>
      <c r="J39" s="70"/>
      <c r="K39" s="70">
        <f t="shared" ref="K39" si="6">C39/100*0</f>
        <v>0</v>
      </c>
      <c r="L39" s="11">
        <f>C39/100*0.2</f>
        <v>0</v>
      </c>
      <c r="M39" s="19">
        <v>1</v>
      </c>
    </row>
    <row r="40" spans="1:13">
      <c r="A40" s="72"/>
      <c r="B40" s="81" t="s">
        <v>1269</v>
      </c>
      <c r="C40" s="4"/>
      <c r="D40" s="5">
        <f>C40/100*49</f>
        <v>0</v>
      </c>
      <c r="E40" s="11">
        <f>C40/100*2</f>
        <v>0</v>
      </c>
      <c r="F40" s="11">
        <f>C40/100*0</f>
        <v>0</v>
      </c>
      <c r="G40" s="11">
        <f>C40/100*9.4</f>
        <v>0</v>
      </c>
      <c r="H40" s="11">
        <f t="shared" si="5"/>
        <v>0</v>
      </c>
      <c r="I40" s="70"/>
      <c r="J40" s="70"/>
      <c r="K40" s="70"/>
      <c r="L40" s="11">
        <f>C40/100*3.3047573</f>
        <v>0</v>
      </c>
      <c r="M40" s="19" t="s">
        <v>750</v>
      </c>
    </row>
    <row r="41" spans="1:13">
      <c r="A41" s="72"/>
      <c r="B41" s="81" t="s">
        <v>527</v>
      </c>
      <c r="C41" s="4"/>
      <c r="D41" s="5">
        <f>C41/100*28</f>
        <v>0</v>
      </c>
      <c r="E41" s="11">
        <f>C41/100*6.5</f>
        <v>0</v>
      </c>
      <c r="F41" s="11">
        <f>C41/100*0.1</f>
        <v>0</v>
      </c>
      <c r="G41" s="11">
        <f>C41/100*7.2</f>
        <v>0</v>
      </c>
      <c r="H41" s="70">
        <f t="shared" si="5"/>
        <v>0</v>
      </c>
      <c r="I41" s="70">
        <f>C41/100*0.2</f>
        <v>0</v>
      </c>
      <c r="J41" s="70">
        <f>C41/100*2</f>
        <v>0</v>
      </c>
      <c r="K41" s="70">
        <f>C41/100*2.2</f>
        <v>0</v>
      </c>
      <c r="L41" s="70">
        <f>C41/100*0</f>
        <v>0</v>
      </c>
      <c r="M41" s="3">
        <v>6</v>
      </c>
    </row>
    <row r="42" spans="1:13">
      <c r="A42" s="72"/>
      <c r="B42" s="81"/>
      <c r="C42" s="24"/>
      <c r="D42" s="5"/>
      <c r="E42" s="11"/>
      <c r="F42" s="11"/>
      <c r="G42" s="11"/>
      <c r="H42" s="70"/>
      <c r="I42" s="70"/>
      <c r="J42" s="70"/>
      <c r="K42" s="70"/>
      <c r="L42" s="70"/>
      <c r="M42" s="3"/>
    </row>
    <row r="43" spans="1:13">
      <c r="A43" s="72"/>
      <c r="B43" s="104"/>
      <c r="C43" s="24"/>
      <c r="D43" s="5"/>
      <c r="E43" s="11"/>
      <c r="F43" s="11"/>
      <c r="G43" s="11"/>
      <c r="H43" s="70"/>
      <c r="I43" s="70"/>
      <c r="J43" s="70"/>
      <c r="K43" s="70"/>
      <c r="L43" s="11"/>
      <c r="M43" s="19"/>
    </row>
    <row r="44" spans="1:13" ht="14.25" thickBot="1">
      <c r="A44" s="72"/>
      <c r="B44" s="93"/>
      <c r="C44" s="134"/>
      <c r="D44" s="135"/>
      <c r="E44" s="135"/>
      <c r="F44" s="135"/>
      <c r="G44" s="135"/>
      <c r="H44" s="137"/>
      <c r="I44" s="136"/>
      <c r="J44" s="136"/>
      <c r="K44" s="136"/>
      <c r="L44" s="137"/>
      <c r="M44" s="91"/>
    </row>
    <row r="45" spans="1:13">
      <c r="A45" s="72"/>
      <c r="B45" s="140" t="s">
        <v>759</v>
      </c>
      <c r="C45" s="141">
        <f>C10</f>
        <v>561</v>
      </c>
      <c r="D45" s="138">
        <f>SUM(D12:D44)</f>
        <v>592.92333333333329</v>
      </c>
      <c r="E45" s="138">
        <f t="shared" ref="E45:L45" si="7">SUM(E12:E44)</f>
        <v>20.298333333333332</v>
      </c>
      <c r="F45" s="138">
        <f t="shared" si="7"/>
        <v>17.493000000000002</v>
      </c>
      <c r="G45" s="138">
        <f t="shared" si="7"/>
        <v>91.187000000000012</v>
      </c>
      <c r="H45" s="176">
        <f t="shared" si="7"/>
        <v>19.2</v>
      </c>
      <c r="I45" s="138">
        <f t="shared" si="7"/>
        <v>3.492</v>
      </c>
      <c r="J45" s="138">
        <f t="shared" si="7"/>
        <v>13.035000000000002</v>
      </c>
      <c r="K45" s="138">
        <f t="shared" si="7"/>
        <v>16.527000000000001</v>
      </c>
      <c r="L45" s="138">
        <f t="shared" si="7"/>
        <v>12.584871248666666</v>
      </c>
      <c r="M45" s="139"/>
    </row>
    <row r="46" spans="1:13" ht="14.25" thickBot="1">
      <c r="A46" s="72"/>
      <c r="B46" s="142" t="str">
        <f>B10</f>
        <v>切干大根・天ぷら・玉葱炒め9/18</v>
      </c>
      <c r="C46" s="143">
        <v>100</v>
      </c>
      <c r="D46" s="144">
        <f>$C46/$C45*D45</f>
        <v>105.69043374925727</v>
      </c>
      <c r="E46" s="144">
        <f t="shared" ref="E46:L46" si="8">$C46/$C45*E45</f>
        <v>3.6182412358882945</v>
      </c>
      <c r="F46" s="144">
        <f t="shared" si="8"/>
        <v>3.1181818181818186</v>
      </c>
      <c r="G46" s="144">
        <f t="shared" si="8"/>
        <v>16.254367201426028</v>
      </c>
      <c r="H46" s="247">
        <f t="shared" si="8"/>
        <v>3.4224598930481283</v>
      </c>
      <c r="I46" s="144">
        <f t="shared" si="8"/>
        <v>0.62245989304812832</v>
      </c>
      <c r="J46" s="144">
        <f t="shared" si="8"/>
        <v>2.3235294117647061</v>
      </c>
      <c r="K46" s="144">
        <f t="shared" si="8"/>
        <v>2.9459893048128345</v>
      </c>
      <c r="L46" s="144">
        <f t="shared" si="8"/>
        <v>2.243292557694593</v>
      </c>
      <c r="M46" s="144"/>
    </row>
    <row r="47" spans="1:13">
      <c r="A47" s="72"/>
      <c r="B47" s="112"/>
      <c r="C47" s="78"/>
      <c r="D47" s="76"/>
      <c r="E47" s="76"/>
      <c r="F47" s="76"/>
      <c r="G47" s="76"/>
      <c r="H47" s="76"/>
      <c r="I47" s="129"/>
      <c r="J47" s="129"/>
      <c r="K47" s="129"/>
      <c r="L47" s="119"/>
      <c r="M47" s="71"/>
    </row>
    <row r="48" spans="1:13">
      <c r="A48" s="72"/>
      <c r="B48" s="77"/>
      <c r="C48" s="78"/>
      <c r="D48" s="76"/>
      <c r="E48" s="76"/>
      <c r="F48" s="76"/>
      <c r="G48" s="76"/>
      <c r="H48" s="76"/>
      <c r="I48" s="129"/>
      <c r="J48" s="129"/>
      <c r="K48" s="129"/>
      <c r="L48" s="119"/>
      <c r="M48" s="71"/>
    </row>
    <row r="49" spans="5:13">
      <c r="E49" s="14"/>
      <c r="F49" s="14"/>
      <c r="G49" s="14"/>
      <c r="H49" s="14"/>
      <c r="I49" s="14"/>
      <c r="J49" s="14"/>
      <c r="K49" s="14"/>
      <c r="L49" s="14"/>
      <c r="M49" s="88"/>
    </row>
    <row r="50" spans="5:13">
      <c r="E50" s="14"/>
      <c r="F50" s="14"/>
      <c r="G50" s="14"/>
      <c r="H50" s="14"/>
      <c r="I50" s="14"/>
      <c r="J50" s="14"/>
      <c r="K50" s="14"/>
      <c r="L50" s="14"/>
      <c r="M50" s="88"/>
    </row>
    <row r="51" spans="5:13">
      <c r="E51" s="14"/>
      <c r="F51" s="14"/>
      <c r="G51" s="14"/>
      <c r="H51" s="14"/>
      <c r="I51" s="14"/>
      <c r="J51" s="14"/>
      <c r="K51" s="14"/>
      <c r="L51" s="14"/>
      <c r="M51" s="88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51"/>
  <sheetViews>
    <sheetView zoomScale="160" zoomScaleNormal="160" workbookViewId="0">
      <selection activeCell="B7" sqref="B7"/>
    </sheetView>
  </sheetViews>
  <sheetFormatPr defaultRowHeight="13.5"/>
  <cols>
    <col min="1" max="1" width="2" customWidth="1"/>
    <col min="2" max="2" width="29.5" bestFit="1" customWidth="1"/>
    <col min="3" max="3" width="12.25" bestFit="1" customWidth="1"/>
    <col min="4" max="4" width="7.5" bestFit="1" customWidth="1"/>
    <col min="5" max="5" width="7.125" style="126" bestFit="1" customWidth="1"/>
    <col min="6" max="6" width="6.5" style="126" bestFit="1" customWidth="1"/>
    <col min="7" max="7" width="8.625" style="126" bestFit="1" customWidth="1"/>
    <col min="8" max="8" width="6.5" style="126" bestFit="1" customWidth="1"/>
    <col min="9" max="10" width="5.5" style="126" bestFit="1" customWidth="1"/>
    <col min="11" max="11" width="6.5" style="126" bestFit="1" customWidth="1"/>
    <col min="12" max="12" width="7.125" style="126" bestFit="1" customWidth="1"/>
    <col min="13" max="13" width="7" customWidth="1"/>
  </cols>
  <sheetData>
    <row r="1" spans="1:13" ht="41.25" thickBot="1">
      <c r="A1" s="72"/>
      <c r="B1" s="104" t="s">
        <v>0</v>
      </c>
      <c r="C1" s="3" t="s">
        <v>1</v>
      </c>
      <c r="D1" s="3" t="s">
        <v>756</v>
      </c>
      <c r="E1" s="96" t="s">
        <v>757</v>
      </c>
      <c r="F1" s="3" t="s">
        <v>4</v>
      </c>
      <c r="G1" s="96" t="s">
        <v>760</v>
      </c>
      <c r="H1" s="120" t="s">
        <v>1148</v>
      </c>
      <c r="I1" s="131" t="s">
        <v>6</v>
      </c>
      <c r="J1" s="131" t="s">
        <v>7</v>
      </c>
      <c r="K1" s="131" t="s">
        <v>8</v>
      </c>
      <c r="L1" s="122" t="s">
        <v>9</v>
      </c>
      <c r="M1" s="89" t="s">
        <v>746</v>
      </c>
    </row>
    <row r="2" spans="1:13">
      <c r="A2" s="72"/>
      <c r="B2" s="140" t="s">
        <v>759</v>
      </c>
      <c r="C2" s="141">
        <f>C10</f>
        <v>453</v>
      </c>
      <c r="D2" s="138">
        <f>SUM(D12:D44)</f>
        <v>493.97</v>
      </c>
      <c r="E2" s="138">
        <f t="shared" ref="E2:L2" si="0">SUM(E12:E44)</f>
        <v>13.520999999999999</v>
      </c>
      <c r="F2" s="138">
        <f t="shared" si="0"/>
        <v>18.687000000000001</v>
      </c>
      <c r="G2" s="138">
        <f t="shared" si="0"/>
        <v>70.323999999999998</v>
      </c>
      <c r="H2" s="138">
        <f t="shared" si="0"/>
        <v>14.6</v>
      </c>
      <c r="I2" s="138">
        <f t="shared" si="0"/>
        <v>2.79</v>
      </c>
      <c r="J2" s="138">
        <f t="shared" si="0"/>
        <v>9.2010000000000005</v>
      </c>
      <c r="K2" s="138">
        <f t="shared" si="0"/>
        <v>11.990999999999998</v>
      </c>
      <c r="L2" s="138">
        <f t="shared" si="0"/>
        <v>6.2846821870000005</v>
      </c>
      <c r="M2" s="138"/>
    </row>
    <row r="3" spans="1:13" ht="14.25" thickBot="1">
      <c r="A3" s="72"/>
      <c r="B3" s="142" t="str">
        <f>B10</f>
        <v>切干大根・天ぷら・玉葱炒め9/20</v>
      </c>
      <c r="C3" s="143">
        <v>100</v>
      </c>
      <c r="D3" s="144">
        <f>$C$3/$C$2*D2</f>
        <v>109.04415011037527</v>
      </c>
      <c r="E3" s="144">
        <f t="shared" ref="E3:L3" si="1">$C$3/$C$2*E2</f>
        <v>2.9847682119205294</v>
      </c>
      <c r="F3" s="144">
        <f t="shared" si="1"/>
        <v>4.1251655629139075</v>
      </c>
      <c r="G3" s="144">
        <f t="shared" si="1"/>
        <v>15.524061810154524</v>
      </c>
      <c r="H3" s="144">
        <f t="shared" si="1"/>
        <v>3.2229580573951431</v>
      </c>
      <c r="I3" s="144">
        <f t="shared" si="1"/>
        <v>0.61589403973509926</v>
      </c>
      <c r="J3" s="144">
        <f t="shared" si="1"/>
        <v>2.0311258278145696</v>
      </c>
      <c r="K3" s="144">
        <f t="shared" si="1"/>
        <v>2.6470198675496683</v>
      </c>
      <c r="L3" s="144">
        <f t="shared" si="1"/>
        <v>1.3873470611479028</v>
      </c>
      <c r="M3" s="144"/>
    </row>
    <row r="6" spans="1:13">
      <c r="C6" t="s">
        <v>1152</v>
      </c>
      <c r="D6" s="13">
        <v>1129</v>
      </c>
      <c r="E6" s="13">
        <v>333</v>
      </c>
      <c r="F6" s="13">
        <f>D6-E6</f>
        <v>796</v>
      </c>
    </row>
    <row r="7" spans="1:13">
      <c r="C7" t="s">
        <v>1153</v>
      </c>
      <c r="D7" s="13">
        <v>0</v>
      </c>
      <c r="E7" s="13">
        <v>0</v>
      </c>
      <c r="F7" s="43">
        <f>D7-E7</f>
        <v>0</v>
      </c>
    </row>
    <row r="8" spans="1:13">
      <c r="C8" t="s">
        <v>1154</v>
      </c>
      <c r="D8" s="13">
        <v>0</v>
      </c>
      <c r="E8" s="13">
        <v>0</v>
      </c>
      <c r="F8" s="13">
        <f>D8-E8</f>
        <v>0</v>
      </c>
    </row>
    <row r="9" spans="1:13">
      <c r="B9" s="14" t="s">
        <v>1165</v>
      </c>
    </row>
    <row r="10" spans="1:13">
      <c r="A10" s="72"/>
      <c r="B10" s="104" t="s">
        <v>1279</v>
      </c>
      <c r="C10" s="230">
        <v>453</v>
      </c>
      <c r="D10" s="72"/>
      <c r="E10" s="127"/>
      <c r="F10" s="127"/>
      <c r="G10" s="127"/>
      <c r="H10" s="127"/>
      <c r="I10" s="127"/>
      <c r="J10" s="127"/>
      <c r="K10" s="127"/>
      <c r="L10" s="127"/>
      <c r="M10" s="72"/>
    </row>
    <row r="11" spans="1:13" ht="52.5" customHeight="1">
      <c r="A11" s="72"/>
      <c r="B11" s="104" t="s">
        <v>0</v>
      </c>
      <c r="C11" s="3" t="s">
        <v>1</v>
      </c>
      <c r="D11" s="3" t="s">
        <v>756</v>
      </c>
      <c r="E11" s="96" t="s">
        <v>757</v>
      </c>
      <c r="F11" s="3" t="s">
        <v>4</v>
      </c>
      <c r="G11" s="96" t="s">
        <v>760</v>
      </c>
      <c r="H11" s="120" t="s">
        <v>1148</v>
      </c>
      <c r="I11" s="131" t="s">
        <v>6</v>
      </c>
      <c r="J11" s="131" t="s">
        <v>7</v>
      </c>
      <c r="K11" s="131" t="s">
        <v>8</v>
      </c>
      <c r="L11" s="122" t="s">
        <v>9</v>
      </c>
      <c r="M11" s="89" t="s">
        <v>746</v>
      </c>
    </row>
    <row r="12" spans="1:13">
      <c r="A12" s="72"/>
      <c r="B12" s="104" t="s">
        <v>227</v>
      </c>
      <c r="C12" s="24">
        <v>41</v>
      </c>
      <c r="D12" s="5">
        <f>C12/100*279</f>
        <v>114.38999999999999</v>
      </c>
      <c r="E12" s="11">
        <f>C12/100*5.7</f>
        <v>2.3369999999999997</v>
      </c>
      <c r="F12" s="11">
        <f>C12/100*0.5</f>
        <v>0.20499999999999999</v>
      </c>
      <c r="G12" s="11">
        <f>C12/100*67.5</f>
        <v>27.674999999999997</v>
      </c>
      <c r="H12" s="70">
        <f>C12/100*0</f>
        <v>0</v>
      </c>
      <c r="I12" s="70">
        <f>C12/100*3.6</f>
        <v>1.476</v>
      </c>
      <c r="J12" s="70">
        <f>C12/100*17.1</f>
        <v>7.0110000000000001</v>
      </c>
      <c r="K12" s="70">
        <f>C12/100*20.7</f>
        <v>8.4869999999999983</v>
      </c>
      <c r="L12" s="11">
        <f>C12/100*0.6863726</f>
        <v>0.28141276599999998</v>
      </c>
      <c r="M12" s="3">
        <v>6</v>
      </c>
    </row>
    <row r="13" spans="1:13">
      <c r="A13" s="72"/>
      <c r="B13" s="81" t="s">
        <v>1119</v>
      </c>
      <c r="C13" s="4">
        <v>73</v>
      </c>
      <c r="D13" s="5">
        <f>C13/100*135</f>
        <v>98.55</v>
      </c>
      <c r="E13" s="11">
        <f>C13/100*9.8</f>
        <v>7.1539999999999999</v>
      </c>
      <c r="F13" s="11">
        <f>C13/100*3.1</f>
        <v>2.2629999999999999</v>
      </c>
      <c r="G13" s="11">
        <f>C13/100*16.9</f>
        <v>12.336999999999998</v>
      </c>
      <c r="H13" s="11">
        <f>C13/100*20</f>
        <v>14.6</v>
      </c>
      <c r="I13" s="70"/>
      <c r="J13" s="70"/>
      <c r="K13" s="70"/>
      <c r="L13" s="11">
        <f>C13/100*2.0947077</f>
        <v>1.5291366209999999</v>
      </c>
      <c r="M13" s="3">
        <v>3</v>
      </c>
    </row>
    <row r="14" spans="1:13">
      <c r="A14" s="72"/>
      <c r="B14" s="81" t="s">
        <v>981</v>
      </c>
      <c r="C14" s="4">
        <v>219</v>
      </c>
      <c r="D14" s="5">
        <f>C14/100*37</f>
        <v>81.03</v>
      </c>
      <c r="E14" s="11">
        <f>C14/100*1</f>
        <v>2.19</v>
      </c>
      <c r="F14" s="11">
        <f>C14/100*0.1</f>
        <v>0.219</v>
      </c>
      <c r="G14" s="11">
        <f>C14/100*8.8</f>
        <v>19.272000000000002</v>
      </c>
      <c r="H14" s="11">
        <f>C14/100*0</f>
        <v>0</v>
      </c>
      <c r="I14" s="70">
        <f>C14/100*0.6</f>
        <v>1.3139999999999998</v>
      </c>
      <c r="J14" s="70">
        <f>C14/100*1</f>
        <v>2.19</v>
      </c>
      <c r="K14" s="70">
        <f>C14/100*1.6</f>
        <v>3.504</v>
      </c>
      <c r="L14" s="70">
        <f>C14/100*0</f>
        <v>0</v>
      </c>
      <c r="M14" s="3">
        <v>6</v>
      </c>
    </row>
    <row r="15" spans="1:13">
      <c r="A15" s="72"/>
      <c r="B15" s="81" t="s">
        <v>605</v>
      </c>
      <c r="C15" s="24">
        <v>16</v>
      </c>
      <c r="D15" s="5">
        <f>C15/100*126/0.14</f>
        <v>144</v>
      </c>
      <c r="E15" s="11">
        <f>C15/100*0/0.14</f>
        <v>0</v>
      </c>
      <c r="F15" s="11">
        <f>C15/100*14/0.14</f>
        <v>16</v>
      </c>
      <c r="G15" s="11">
        <f>C15/100*0/0.14</f>
        <v>0</v>
      </c>
      <c r="H15" s="70">
        <f t="shared" ref="H15:H17" si="2">C15/100*0</f>
        <v>0</v>
      </c>
      <c r="I15" s="70"/>
      <c r="J15" s="70"/>
      <c r="K15" s="70"/>
      <c r="L15" s="70"/>
      <c r="M15" s="3">
        <v>5</v>
      </c>
    </row>
    <row r="16" spans="1:13">
      <c r="A16" s="72"/>
      <c r="B16" s="104" t="s">
        <v>999</v>
      </c>
      <c r="C16" s="4">
        <v>40</v>
      </c>
      <c r="D16" s="5">
        <f>C16/100*140</f>
        <v>56</v>
      </c>
      <c r="E16" s="11">
        <f>C16/100*4.6</f>
        <v>1.8399999999999999</v>
      </c>
      <c r="F16" s="11">
        <f>C16/100*0</f>
        <v>0</v>
      </c>
      <c r="G16" s="11">
        <f>C16/100*27.6</f>
        <v>11.040000000000001</v>
      </c>
      <c r="H16" s="70">
        <f t="shared" si="2"/>
        <v>0</v>
      </c>
      <c r="I16" s="70"/>
      <c r="J16" s="70"/>
      <c r="K16" s="70"/>
      <c r="L16" s="11">
        <f>C16/100*11.185332</f>
        <v>4.4741328000000005</v>
      </c>
      <c r="M16" s="19" t="s">
        <v>750</v>
      </c>
    </row>
    <row r="17" spans="1:13">
      <c r="A17" s="72"/>
      <c r="B17" s="104" t="s">
        <v>883</v>
      </c>
      <c r="C17" s="24"/>
      <c r="D17" s="5">
        <f>C17/100*14/0.15</f>
        <v>0</v>
      </c>
      <c r="E17" s="11">
        <f>C17/100*1.1/0.15</f>
        <v>0</v>
      </c>
      <c r="F17" s="11">
        <f>C17/100*0/0.15</f>
        <v>0</v>
      </c>
      <c r="G17" s="11">
        <f>C17/100*2.1/0.15</f>
        <v>0</v>
      </c>
      <c r="H17" s="70">
        <f t="shared" si="2"/>
        <v>0</v>
      </c>
      <c r="I17" s="70"/>
      <c r="J17" s="70"/>
      <c r="K17" s="70"/>
      <c r="L17" s="11">
        <f>C17/100*1.9828543/0.15</f>
        <v>0</v>
      </c>
      <c r="M17" s="19" t="s">
        <v>750</v>
      </c>
    </row>
    <row r="18" spans="1:13">
      <c r="A18" s="72"/>
      <c r="B18" s="104" t="s">
        <v>347</v>
      </c>
      <c r="C18" s="4"/>
      <c r="D18" s="5">
        <f>C18/100*18</f>
        <v>0</v>
      </c>
      <c r="E18" s="11">
        <f>C18/100*3</f>
        <v>0</v>
      </c>
      <c r="F18" s="11">
        <f>C18/100*0.4</f>
        <v>0</v>
      </c>
      <c r="G18" s="11">
        <f>C18/100*4.9</f>
        <v>0</v>
      </c>
      <c r="H18" s="70">
        <f t="shared" ref="H18:H19" si="3">C18/100*0</f>
        <v>0</v>
      </c>
      <c r="I18" s="70">
        <f>C18/100*0.5</f>
        <v>0</v>
      </c>
      <c r="J18" s="70">
        <f>C18/100*3</f>
        <v>0</v>
      </c>
      <c r="K18" s="70">
        <f>C18/100*3.5</f>
        <v>0</v>
      </c>
      <c r="L18" s="70">
        <f>C18/100*0</f>
        <v>0</v>
      </c>
      <c r="M18" s="3">
        <v>6</v>
      </c>
    </row>
    <row r="19" spans="1:13">
      <c r="A19" s="72"/>
      <c r="B19" s="104" t="s">
        <v>535</v>
      </c>
      <c r="C19" s="4"/>
      <c r="D19" s="5">
        <f>C19/100*14</f>
        <v>0</v>
      </c>
      <c r="E19" s="11">
        <f>C19/100*0.8</f>
        <v>0</v>
      </c>
      <c r="F19" s="11">
        <f>C19/100*0.1</f>
        <v>0</v>
      </c>
      <c r="G19" s="11">
        <f>C19/100*3.2</f>
        <v>0</v>
      </c>
      <c r="H19" s="70">
        <f t="shared" si="3"/>
        <v>0</v>
      </c>
      <c r="I19" s="70">
        <f>C19/100*0.3</f>
        <v>0</v>
      </c>
      <c r="J19" s="70">
        <f>C19/100*1</f>
        <v>0</v>
      </c>
      <c r="K19" s="70">
        <f>C19/100*1.3</f>
        <v>0</v>
      </c>
      <c r="L19" s="11">
        <f>C19/100*0</f>
        <v>0</v>
      </c>
      <c r="M19" s="3">
        <v>6</v>
      </c>
    </row>
    <row r="20" spans="1:13">
      <c r="A20" s="72"/>
      <c r="B20" s="81" t="s">
        <v>830</v>
      </c>
      <c r="C20" s="4"/>
      <c r="D20" s="5">
        <f>C20/100*139</f>
        <v>0</v>
      </c>
      <c r="E20" s="11">
        <f>C20/100*22.51</f>
        <v>0</v>
      </c>
      <c r="F20" s="11">
        <f>C20/100*4.51</f>
        <v>0</v>
      </c>
      <c r="G20" s="11">
        <f>C20/100*0.11</f>
        <v>0</v>
      </c>
      <c r="H20" s="70">
        <f>C20/100*59</f>
        <v>0</v>
      </c>
      <c r="I20" s="70"/>
      <c r="J20" s="70"/>
      <c r="K20" s="70"/>
      <c r="L20" s="70">
        <f>C20/100*0.1449008</f>
        <v>0</v>
      </c>
      <c r="M20" s="3">
        <v>3</v>
      </c>
    </row>
    <row r="21" spans="1:13">
      <c r="A21" s="72"/>
      <c r="B21" s="104" t="s">
        <v>614</v>
      </c>
      <c r="C21" s="4"/>
      <c r="D21" s="5">
        <f>C21/100*97</f>
        <v>0</v>
      </c>
      <c r="E21" s="11">
        <f>C21/100*17.9</f>
        <v>0</v>
      </c>
      <c r="F21" s="11">
        <f>C21/100*0.1</f>
        <v>0</v>
      </c>
      <c r="G21" s="11">
        <f>C21/100*4.9</f>
        <v>0</v>
      </c>
      <c r="H21" s="70">
        <f>C21/100*33</f>
        <v>0</v>
      </c>
      <c r="I21" s="70"/>
      <c r="J21" s="70"/>
      <c r="K21" s="70"/>
      <c r="L21" s="70">
        <f>C21/100*0.3</f>
        <v>0</v>
      </c>
      <c r="M21" s="3">
        <v>3</v>
      </c>
    </row>
    <row r="22" spans="1:13">
      <c r="A22" s="72"/>
      <c r="B22" s="104" t="s">
        <v>208</v>
      </c>
      <c r="C22" s="4"/>
      <c r="D22" s="5">
        <f>C22/100*355</f>
        <v>0</v>
      </c>
      <c r="E22" s="11">
        <f>C22/100*17.9</f>
        <v>0</v>
      </c>
      <c r="F22" s="11">
        <f>C22/100*27.7</f>
        <v>0</v>
      </c>
      <c r="G22" s="11">
        <f>C22/100*5.3</f>
        <v>0</v>
      </c>
      <c r="H22" s="70">
        <f>C22/100*75</f>
        <v>0</v>
      </c>
      <c r="I22" s="70">
        <f>C22/100*0.1</f>
        <v>0</v>
      </c>
      <c r="J22" s="70">
        <f>C22/100*0.3</f>
        <v>0</v>
      </c>
      <c r="K22" s="70">
        <f>C22/100*0.4</f>
        <v>0</v>
      </c>
      <c r="L22" s="70">
        <f>C22/100*1.7</f>
        <v>0</v>
      </c>
      <c r="M22" s="3">
        <v>3</v>
      </c>
    </row>
    <row r="23" spans="1:13">
      <c r="A23" s="72"/>
      <c r="B23" s="104" t="s">
        <v>1047</v>
      </c>
      <c r="C23" s="4"/>
      <c r="D23" s="5">
        <f>C23/100*150</f>
        <v>0</v>
      </c>
      <c r="E23" s="11">
        <f>C23/100*9.1</f>
        <v>0</v>
      </c>
      <c r="F23" s="11">
        <f>C23/100*8.2</f>
        <v>0</v>
      </c>
      <c r="G23" s="11">
        <f>C23/100*10</f>
        <v>0</v>
      </c>
      <c r="H23" s="70">
        <f>C23/100*420</f>
        <v>0</v>
      </c>
      <c r="I23" s="70"/>
      <c r="J23" s="70"/>
      <c r="K23" s="70"/>
      <c r="L23" s="11">
        <f>C23/100*1.1693756</f>
        <v>0</v>
      </c>
      <c r="M23" s="19" t="s">
        <v>751</v>
      </c>
    </row>
    <row r="24" spans="1:13">
      <c r="A24" s="72"/>
      <c r="B24" s="104" t="s">
        <v>948</v>
      </c>
      <c r="C24" s="4"/>
      <c r="D24" s="5">
        <f>C24/100*160</f>
        <v>0</v>
      </c>
      <c r="E24" s="11">
        <f>C24/100*9.64</f>
        <v>0</v>
      </c>
      <c r="F24" s="11">
        <f>C24/100*3.73</f>
        <v>0</v>
      </c>
      <c r="G24" s="11">
        <f>C24/100*20.66</f>
        <v>0</v>
      </c>
      <c r="H24" s="70">
        <f>C24/100*0</f>
        <v>0</v>
      </c>
      <c r="I24" s="70"/>
      <c r="J24" s="70"/>
      <c r="K24" s="70">
        <f>C24/100*0.22</f>
        <v>0</v>
      </c>
      <c r="L24" s="11">
        <f>C24/100*1.33</f>
        <v>0</v>
      </c>
      <c r="M24" s="19" t="s">
        <v>751</v>
      </c>
    </row>
    <row r="25" spans="1:13">
      <c r="A25" s="72"/>
      <c r="B25" s="103" t="s">
        <v>361</v>
      </c>
      <c r="C25" s="4"/>
      <c r="D25" s="5">
        <f>C25/100*73</f>
        <v>0</v>
      </c>
      <c r="E25" s="11">
        <f>C25/100*1.5</f>
        <v>0</v>
      </c>
      <c r="F25" s="11">
        <f>C25/100*0.1</f>
        <v>0</v>
      </c>
      <c r="G25" s="11">
        <f>C25/100*16.8</f>
        <v>0</v>
      </c>
      <c r="H25" s="70">
        <f t="shared" ref="H25:H29" si="4">C25/100*0</f>
        <v>0</v>
      </c>
      <c r="I25" s="70">
        <f>C25/100*0.5</f>
        <v>0</v>
      </c>
      <c r="J25" s="70">
        <f>C25/100*1.1</f>
        <v>0</v>
      </c>
      <c r="K25" s="70">
        <f>C25/100*1.6</f>
        <v>0</v>
      </c>
      <c r="L25" s="70">
        <f>C25/100*0</f>
        <v>0</v>
      </c>
      <c r="M25" s="3">
        <v>1</v>
      </c>
    </row>
    <row r="26" spans="1:13">
      <c r="A26" s="72"/>
      <c r="B26" s="104" t="s">
        <v>1022</v>
      </c>
      <c r="C26" s="4"/>
      <c r="D26" s="5">
        <f>C26/100*5</f>
        <v>0</v>
      </c>
      <c r="E26" s="11">
        <f>C26/100*0</f>
        <v>0</v>
      </c>
      <c r="F26" s="11">
        <f>C26/100*0</f>
        <v>0</v>
      </c>
      <c r="G26" s="11">
        <f>C26/100*2.3</f>
        <v>0</v>
      </c>
      <c r="H26" s="70">
        <f t="shared" si="4"/>
        <v>0</v>
      </c>
      <c r="I26" s="70"/>
      <c r="J26" s="70"/>
      <c r="K26" s="70">
        <f>C26/100*2.1</f>
        <v>0</v>
      </c>
      <c r="L26" s="70">
        <f>C26/100*0</f>
        <v>0</v>
      </c>
      <c r="M26" s="3">
        <v>6</v>
      </c>
    </row>
    <row r="27" spans="1:13">
      <c r="A27" s="72"/>
      <c r="B27" s="103" t="s">
        <v>367</v>
      </c>
      <c r="C27" s="4"/>
      <c r="D27" s="5">
        <f>C27/100*71</f>
        <v>0</v>
      </c>
      <c r="E27" s="11">
        <f>C27/100*7.1</f>
        <v>0</v>
      </c>
      <c r="F27" s="11">
        <f>C27/100*0</f>
        <v>0</v>
      </c>
      <c r="G27" s="11">
        <f>C27/100*10.5</f>
        <v>0</v>
      </c>
      <c r="H27" s="70">
        <f t="shared" si="4"/>
        <v>0</v>
      </c>
      <c r="I27" s="70"/>
      <c r="J27" s="70"/>
      <c r="K27" s="70"/>
      <c r="L27" s="70">
        <f>C27/100*13.2</f>
        <v>0</v>
      </c>
      <c r="M27" s="19" t="s">
        <v>750</v>
      </c>
    </row>
    <row r="28" spans="1:13">
      <c r="A28" s="72"/>
      <c r="B28" s="103" t="s">
        <v>586</v>
      </c>
      <c r="C28" s="4"/>
      <c r="D28" s="5">
        <f>C28/100*59</f>
        <v>0</v>
      </c>
      <c r="E28" s="11">
        <f>C28/100*0.4</f>
        <v>0</v>
      </c>
      <c r="F28" s="11">
        <f>C28/100*0.1</f>
        <v>0</v>
      </c>
      <c r="G28" s="11">
        <f>C28/100*15.7</f>
        <v>0</v>
      </c>
      <c r="H28" s="70">
        <f t="shared" si="4"/>
        <v>0</v>
      </c>
      <c r="I28" s="70">
        <f>C28/100*0.2</f>
        <v>0</v>
      </c>
      <c r="J28" s="70">
        <f>C28/100*0.3</f>
        <v>0</v>
      </c>
      <c r="K28" s="70">
        <f>C28/100*0.5</f>
        <v>0</v>
      </c>
      <c r="L28" s="70">
        <f>C28/100*0</f>
        <v>0</v>
      </c>
      <c r="M28" s="3">
        <v>2</v>
      </c>
    </row>
    <row r="29" spans="1:13">
      <c r="A29" s="72"/>
      <c r="B29" s="81" t="s">
        <v>523</v>
      </c>
      <c r="C29" s="4"/>
      <c r="D29" s="5">
        <f>C29/100*37</f>
        <v>0</v>
      </c>
      <c r="E29" s="11">
        <f>C29/100*0.6</f>
        <v>0</v>
      </c>
      <c r="F29" s="11">
        <f>C29/100*0.1</f>
        <v>0</v>
      </c>
      <c r="G29" s="11">
        <f>C29/100*9.1</f>
        <v>0</v>
      </c>
      <c r="H29" s="70">
        <f t="shared" si="4"/>
        <v>0</v>
      </c>
      <c r="I29" s="70">
        <f>C29/100*0.7</f>
        <v>0</v>
      </c>
      <c r="J29" s="70">
        <f>C29/100*2</f>
        <v>0</v>
      </c>
      <c r="K29" s="70">
        <f>C29/100*2.7</f>
        <v>0</v>
      </c>
      <c r="L29" s="70">
        <f>C29/100*0.1</f>
        <v>0</v>
      </c>
      <c r="M29" s="3">
        <v>6</v>
      </c>
    </row>
    <row r="30" spans="1:13">
      <c r="A30" s="72"/>
      <c r="B30" s="81" t="s">
        <v>1188</v>
      </c>
      <c r="C30" s="4"/>
      <c r="D30" s="5">
        <f>C30/100*91</f>
        <v>0</v>
      </c>
      <c r="E30" s="11">
        <f>C30/100*0.1</f>
        <v>0</v>
      </c>
      <c r="F30" s="11">
        <f>C30/100*0.1</f>
        <v>0</v>
      </c>
      <c r="G30" s="11">
        <f>C30/100*22.5</f>
        <v>0</v>
      </c>
      <c r="H30" s="70">
        <f>C30/100*0</f>
        <v>0</v>
      </c>
      <c r="I30" s="70"/>
      <c r="J30" s="70"/>
      <c r="K30" s="70"/>
      <c r="L30" s="11">
        <f>C30/100*0</f>
        <v>0</v>
      </c>
      <c r="M30" s="19" t="s">
        <v>751</v>
      </c>
    </row>
    <row r="31" spans="1:13">
      <c r="A31" s="72"/>
      <c r="B31" s="81" t="s">
        <v>1189</v>
      </c>
      <c r="C31" s="4"/>
      <c r="D31" s="5">
        <f>C31/100*199</f>
        <v>0</v>
      </c>
      <c r="E31" s="11">
        <f>C31/100*1</f>
        <v>0</v>
      </c>
      <c r="F31" s="11">
        <f>C31/100*0</f>
        <v>0</v>
      </c>
      <c r="G31" s="11">
        <f>C31/100*50.5</f>
        <v>0</v>
      </c>
      <c r="H31" s="70">
        <f>C31/100*0</f>
        <v>0</v>
      </c>
      <c r="I31" s="70"/>
      <c r="J31" s="70"/>
      <c r="K31" s="70"/>
      <c r="L31" s="11">
        <f>C31/100*0</f>
        <v>0</v>
      </c>
      <c r="M31" s="19" t="s">
        <v>751</v>
      </c>
    </row>
    <row r="32" spans="1:13">
      <c r="A32" s="72"/>
      <c r="B32" s="104" t="s">
        <v>1059</v>
      </c>
      <c r="C32" s="4"/>
      <c r="D32" s="5">
        <f>C32/100*41/0.13</f>
        <v>0</v>
      </c>
      <c r="E32" s="11">
        <f>C32/100*8.4/0.13</f>
        <v>0</v>
      </c>
      <c r="F32" s="11">
        <f>C32/100*0.5/0.13</f>
        <v>0</v>
      </c>
      <c r="G32" s="11">
        <f>C32/100*0.01/0.13</f>
        <v>0</v>
      </c>
      <c r="H32" s="11">
        <f>C32/100*91/0.13</f>
        <v>0</v>
      </c>
      <c r="I32" s="70"/>
      <c r="J32" s="70"/>
      <c r="K32" s="70"/>
      <c r="L32" s="11">
        <f>C32/100*0.3965708/0.13</f>
        <v>0</v>
      </c>
      <c r="M32" s="3">
        <v>3</v>
      </c>
    </row>
    <row r="33" spans="1:13">
      <c r="A33" s="72"/>
      <c r="B33" s="103" t="s">
        <v>486</v>
      </c>
      <c r="C33" s="4"/>
      <c r="D33" s="5">
        <f>C33/100*19</f>
        <v>0</v>
      </c>
      <c r="E33" s="11">
        <f>C33/100*0.7</f>
        <v>0</v>
      </c>
      <c r="F33" s="11">
        <f>C33/100*0.1</f>
        <v>0</v>
      </c>
      <c r="G33" s="11">
        <f>C33/100*4.7</f>
        <v>0</v>
      </c>
      <c r="H33" s="70">
        <f t="shared" ref="H33:H34" si="5">C33/100*0</f>
        <v>0</v>
      </c>
      <c r="I33" s="70">
        <f>C33/100*0.3</f>
        <v>0</v>
      </c>
      <c r="J33" s="70">
        <f>C33/100*0.7</f>
        <v>0</v>
      </c>
      <c r="K33" s="70">
        <f>C33/100*1</f>
        <v>0</v>
      </c>
      <c r="L33" s="70">
        <f>C33/100*0</f>
        <v>0</v>
      </c>
      <c r="M33" s="3">
        <v>6</v>
      </c>
    </row>
    <row r="34" spans="1:13">
      <c r="A34" s="72"/>
      <c r="B34" s="104" t="s">
        <v>1045</v>
      </c>
      <c r="C34" s="4"/>
      <c r="D34" s="5">
        <f>C34/100*8/0.15</f>
        <v>0</v>
      </c>
      <c r="E34" s="11">
        <f>C34/100*0.5/0.15</f>
        <v>0</v>
      </c>
      <c r="F34" s="11">
        <f>C34/100*0/0.15</f>
        <v>0</v>
      </c>
      <c r="G34" s="11">
        <f>C34/100*1.4/0.15</f>
        <v>0</v>
      </c>
      <c r="H34" s="70">
        <f t="shared" si="5"/>
        <v>0</v>
      </c>
      <c r="I34" s="70"/>
      <c r="J34" s="70"/>
      <c r="K34" s="70"/>
      <c r="L34" s="11">
        <f>C34/100*0.9/0.15</f>
        <v>0</v>
      </c>
      <c r="M34" s="3" t="s">
        <v>747</v>
      </c>
    </row>
    <row r="35" spans="1:13">
      <c r="A35" s="72"/>
      <c r="B35" s="81" t="s">
        <v>1253</v>
      </c>
      <c r="C35" s="4"/>
      <c r="D35" s="5">
        <f>C35/100*186</f>
        <v>0</v>
      </c>
      <c r="E35" s="11">
        <f>C35/100*13.1</f>
        <v>0</v>
      </c>
      <c r="F35" s="11">
        <f>C35/100*12</f>
        <v>0</v>
      </c>
      <c r="G35" s="11">
        <f>C35/100*6.3</f>
        <v>0</v>
      </c>
      <c r="H35" s="70">
        <f>C35/100*50</f>
        <v>0</v>
      </c>
      <c r="I35" s="70"/>
      <c r="J35" s="70"/>
      <c r="K35" s="70"/>
      <c r="L35" s="11">
        <f>C35/100*2.7963331</f>
        <v>0</v>
      </c>
      <c r="M35" s="19">
        <v>5</v>
      </c>
    </row>
    <row r="36" spans="1:13">
      <c r="A36" s="72"/>
      <c r="B36" s="104" t="s">
        <v>200</v>
      </c>
      <c r="C36" s="4"/>
      <c r="D36" s="5">
        <f>C36/100*434</f>
        <v>0</v>
      </c>
      <c r="E36" s="11">
        <f>C36/100*36.8</f>
        <v>0</v>
      </c>
      <c r="F36" s="11">
        <f>C36/100*23.1</f>
        <v>0</v>
      </c>
      <c r="G36" s="11">
        <f>C36/100*29.8</f>
        <v>0</v>
      </c>
      <c r="H36" s="70">
        <f t="shared" ref="H36" si="6">C36/100*0</f>
        <v>0</v>
      </c>
      <c r="I36" s="70">
        <f>C36/100*1.9</f>
        <v>0</v>
      </c>
      <c r="J36" s="70">
        <f>C36/100*11.8</f>
        <v>0</v>
      </c>
      <c r="K36" s="70">
        <f>C36/100*13.7</f>
        <v>0</v>
      </c>
      <c r="L36" s="70">
        <f>C36/100*0</f>
        <v>0</v>
      </c>
      <c r="M36" s="3">
        <v>3</v>
      </c>
    </row>
    <row r="37" spans="1:13">
      <c r="A37" s="72"/>
      <c r="B37" s="104"/>
      <c r="C37" s="4"/>
      <c r="D37" s="5"/>
      <c r="E37" s="11"/>
      <c r="F37" s="11"/>
      <c r="G37" s="11"/>
      <c r="H37" s="70"/>
      <c r="I37" s="70"/>
      <c r="J37" s="70"/>
      <c r="K37" s="70"/>
      <c r="L37" s="11"/>
      <c r="M37" s="19"/>
    </row>
    <row r="38" spans="1:13">
      <c r="A38" s="72"/>
      <c r="B38" s="104" t="s">
        <v>324</v>
      </c>
      <c r="C38" s="4"/>
      <c r="D38" s="5">
        <f>C38/100*271</f>
        <v>0</v>
      </c>
      <c r="E38" s="11">
        <f>C38/100*25.8</f>
        <v>0</v>
      </c>
      <c r="F38" s="11">
        <f>C38/100*17.1</f>
        <v>0</v>
      </c>
      <c r="G38" s="11">
        <f>C38/100*0.4</f>
        <v>0</v>
      </c>
      <c r="H38" s="70">
        <f>C38/100*85</f>
        <v>0</v>
      </c>
      <c r="I38" s="70"/>
      <c r="J38" s="70"/>
      <c r="K38" s="70"/>
      <c r="L38" s="70">
        <f>C38/100*0.4</f>
        <v>0</v>
      </c>
      <c r="M38" s="3">
        <v>3</v>
      </c>
    </row>
    <row r="39" spans="1:13">
      <c r="A39" s="72"/>
      <c r="B39" s="104" t="s">
        <v>555</v>
      </c>
      <c r="C39" s="4"/>
      <c r="D39" s="5">
        <f>C39/100*40</f>
        <v>0</v>
      </c>
      <c r="E39" s="11">
        <f>C39/100*0.55</f>
        <v>0</v>
      </c>
      <c r="F39" s="11">
        <f>C39/100*0</f>
        <v>0</v>
      </c>
      <c r="G39" s="11">
        <f>C39/100*3</f>
        <v>0</v>
      </c>
      <c r="H39" s="70">
        <f t="shared" ref="H39:H42" si="7">C39/100*0</f>
        <v>0</v>
      </c>
      <c r="I39" s="70"/>
      <c r="J39" s="70"/>
      <c r="K39" s="70"/>
      <c r="L39" s="70"/>
      <c r="M39" s="19" t="s">
        <v>751</v>
      </c>
    </row>
    <row r="40" spans="1:13">
      <c r="A40" s="72"/>
      <c r="B40" s="81" t="s">
        <v>205</v>
      </c>
      <c r="C40" s="4"/>
      <c r="D40" s="5">
        <f>C40/100*23</f>
        <v>0</v>
      </c>
      <c r="E40" s="11">
        <f>C40/100*1.3</f>
        <v>0</v>
      </c>
      <c r="F40" s="11">
        <f>C40/100*0.2</f>
        <v>0</v>
      </c>
      <c r="G40" s="11">
        <f>C40/100*5.2</f>
        <v>0</v>
      </c>
      <c r="H40" s="70">
        <f t="shared" si="7"/>
        <v>0</v>
      </c>
      <c r="I40" s="70">
        <f>C40/100*0.4</f>
        <v>0</v>
      </c>
      <c r="J40" s="70">
        <f>C40/100*1.4</f>
        <v>0</v>
      </c>
      <c r="K40" s="70">
        <f>C40/100*1.8</f>
        <v>0</v>
      </c>
      <c r="L40" s="70">
        <f>C40/100*0</f>
        <v>0</v>
      </c>
      <c r="M40" s="3">
        <v>6</v>
      </c>
    </row>
    <row r="41" spans="1:13">
      <c r="A41" s="72"/>
      <c r="B41" s="103" t="s">
        <v>589</v>
      </c>
      <c r="C41" s="4"/>
      <c r="D41" s="5">
        <f>C41/100*18</f>
        <v>0</v>
      </c>
      <c r="E41" s="11">
        <f>C41/100*2.7</f>
        <v>0</v>
      </c>
      <c r="F41" s="11">
        <f>C41/100*0.6</f>
        <v>0</v>
      </c>
      <c r="G41" s="11">
        <f>C41/100*5</f>
        <v>0</v>
      </c>
      <c r="H41" s="70">
        <f t="shared" si="7"/>
        <v>0</v>
      </c>
      <c r="I41" s="70">
        <f>C41/100*0.3</f>
        <v>0</v>
      </c>
      <c r="J41" s="70">
        <f>C41/100*3.4</f>
        <v>0</v>
      </c>
      <c r="K41" s="70">
        <f>C41/100*3.7</f>
        <v>0</v>
      </c>
      <c r="L41" s="70">
        <f>C41/100*0</f>
        <v>0</v>
      </c>
      <c r="M41" s="3">
        <v>6</v>
      </c>
    </row>
    <row r="42" spans="1:13">
      <c r="A42" s="72"/>
      <c r="B42" s="104" t="s">
        <v>371</v>
      </c>
      <c r="C42" s="4"/>
      <c r="D42" s="5">
        <f>C42/100*0</f>
        <v>0</v>
      </c>
      <c r="E42" s="11">
        <f>C42/100*0</f>
        <v>0</v>
      </c>
      <c r="F42" s="11">
        <f>C42/100*0</f>
        <v>0</v>
      </c>
      <c r="G42" s="11">
        <f>C42/100*0</f>
        <v>0</v>
      </c>
      <c r="H42" s="70">
        <f t="shared" si="7"/>
        <v>0</v>
      </c>
      <c r="I42" s="70">
        <f>C42/100*0</f>
        <v>0</v>
      </c>
      <c r="J42" s="70">
        <f>C42/100*0</f>
        <v>0</v>
      </c>
      <c r="K42" s="70">
        <f>C42/100*0</f>
        <v>0</v>
      </c>
      <c r="L42" s="11">
        <f>C42/100*99.142719</f>
        <v>0</v>
      </c>
      <c r="M42" s="19" t="s">
        <v>750</v>
      </c>
    </row>
    <row r="43" spans="1:13">
      <c r="A43" s="72"/>
      <c r="B43" s="92"/>
      <c r="C43" s="74"/>
      <c r="D43" s="75"/>
      <c r="E43" s="75"/>
      <c r="F43" s="75"/>
      <c r="G43" s="75"/>
      <c r="H43" s="73"/>
      <c r="I43" s="128"/>
      <c r="J43" s="128"/>
      <c r="K43" s="128"/>
      <c r="L43" s="73"/>
      <c r="M43" s="15"/>
    </row>
    <row r="44" spans="1:13" ht="14.25" thickBot="1">
      <c r="A44" s="72"/>
      <c r="B44" s="93"/>
      <c r="C44" s="134"/>
      <c r="D44" s="135"/>
      <c r="E44" s="135"/>
      <c r="F44" s="135"/>
      <c r="G44" s="135"/>
      <c r="H44" s="137"/>
      <c r="I44" s="136"/>
      <c r="J44" s="136"/>
      <c r="K44" s="136"/>
      <c r="L44" s="137"/>
      <c r="M44" s="91"/>
    </row>
    <row r="45" spans="1:13">
      <c r="A45" s="72"/>
      <c r="B45" s="140" t="s">
        <v>759</v>
      </c>
      <c r="C45" s="141">
        <f>C10</f>
        <v>453</v>
      </c>
      <c r="D45" s="138">
        <f>SUM(D12:D44)</f>
        <v>493.97</v>
      </c>
      <c r="E45" s="138">
        <f t="shared" ref="E45:L45" si="8">SUM(E12:E44)</f>
        <v>13.520999999999999</v>
      </c>
      <c r="F45" s="138">
        <f t="shared" si="8"/>
        <v>18.687000000000001</v>
      </c>
      <c r="G45" s="138">
        <f t="shared" si="8"/>
        <v>70.323999999999998</v>
      </c>
      <c r="H45" s="176">
        <f t="shared" si="8"/>
        <v>14.6</v>
      </c>
      <c r="I45" s="138">
        <f t="shared" si="8"/>
        <v>2.79</v>
      </c>
      <c r="J45" s="138">
        <f t="shared" si="8"/>
        <v>9.2010000000000005</v>
      </c>
      <c r="K45" s="138">
        <f t="shared" si="8"/>
        <v>11.990999999999998</v>
      </c>
      <c r="L45" s="138">
        <f t="shared" si="8"/>
        <v>6.2846821870000005</v>
      </c>
      <c r="M45" s="139"/>
    </row>
    <row r="46" spans="1:13" ht="14.25" thickBot="1">
      <c r="A46" s="72"/>
      <c r="B46" s="142" t="str">
        <f>B10</f>
        <v>切干大根・天ぷら・玉葱炒め9/20</v>
      </c>
      <c r="C46" s="143">
        <v>100</v>
      </c>
      <c r="D46" s="144">
        <f>$C46/$C45*D45</f>
        <v>109.04415011037527</v>
      </c>
      <c r="E46" s="144">
        <f t="shared" ref="E46:L46" si="9">$C46/$C45*E45</f>
        <v>2.9847682119205294</v>
      </c>
      <c r="F46" s="144">
        <f t="shared" si="9"/>
        <v>4.1251655629139075</v>
      </c>
      <c r="G46" s="144">
        <f t="shared" si="9"/>
        <v>15.524061810154524</v>
      </c>
      <c r="H46" s="247">
        <f t="shared" si="9"/>
        <v>3.2229580573951431</v>
      </c>
      <c r="I46" s="144">
        <f t="shared" si="9"/>
        <v>0.61589403973509926</v>
      </c>
      <c r="J46" s="144">
        <f t="shared" si="9"/>
        <v>2.0311258278145696</v>
      </c>
      <c r="K46" s="144">
        <f t="shared" si="9"/>
        <v>2.6470198675496683</v>
      </c>
      <c r="L46" s="144">
        <f t="shared" si="9"/>
        <v>1.3873470611479028</v>
      </c>
      <c r="M46" s="144"/>
    </row>
    <row r="47" spans="1:13">
      <c r="A47" s="72"/>
      <c r="B47" s="112"/>
      <c r="C47" s="78"/>
      <c r="D47" s="76"/>
      <c r="E47" s="76"/>
      <c r="F47" s="76"/>
      <c r="G47" s="76"/>
      <c r="H47" s="76"/>
      <c r="I47" s="129"/>
      <c r="J47" s="129"/>
      <c r="K47" s="129"/>
      <c r="L47" s="119"/>
      <c r="M47" s="71"/>
    </row>
    <row r="48" spans="1:13">
      <c r="A48" s="72"/>
      <c r="B48" s="77"/>
      <c r="C48" s="78"/>
      <c r="D48" s="76"/>
      <c r="E48" s="76"/>
      <c r="F48" s="76"/>
      <c r="G48" s="76"/>
      <c r="H48" s="76"/>
      <c r="I48" s="129"/>
      <c r="J48" s="129"/>
      <c r="K48" s="129"/>
      <c r="L48" s="119"/>
      <c r="M48" s="71"/>
    </row>
    <row r="49" spans="5:13">
      <c r="E49" s="14"/>
      <c r="F49" s="14"/>
      <c r="G49" s="14"/>
      <c r="H49" s="14"/>
      <c r="I49" s="14"/>
      <c r="J49" s="14"/>
      <c r="K49" s="14"/>
      <c r="L49" s="14"/>
      <c r="M49" s="88"/>
    </row>
    <row r="50" spans="5:13">
      <c r="E50" s="14"/>
      <c r="F50" s="14"/>
      <c r="G50" s="14"/>
      <c r="H50" s="14"/>
      <c r="I50" s="14"/>
      <c r="J50" s="14"/>
      <c r="K50" s="14"/>
      <c r="L50" s="14"/>
      <c r="M50" s="88"/>
    </row>
    <row r="51" spans="5:13">
      <c r="E51" s="14"/>
      <c r="F51" s="14"/>
      <c r="G51" s="14"/>
      <c r="H51" s="14"/>
      <c r="I51" s="14"/>
      <c r="J51" s="14"/>
      <c r="K51" s="14"/>
      <c r="L51" s="14"/>
      <c r="M51" s="88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M1227"/>
  <sheetViews>
    <sheetView topLeftCell="A1209" zoomScale="160" zoomScaleNormal="160" workbookViewId="0">
      <selection activeCell="B1218" sqref="B1218"/>
    </sheetView>
  </sheetViews>
  <sheetFormatPr defaultRowHeight="13.5"/>
  <cols>
    <col min="1" max="1" width="2.375" customWidth="1"/>
    <col min="2" max="2" width="31.75" style="111" bestFit="1" customWidth="1"/>
    <col min="3" max="3" width="5.5" bestFit="1" customWidth="1"/>
    <col min="4" max="4" width="7.5" bestFit="1" customWidth="1"/>
    <col min="5" max="5" width="7.125" style="14" bestFit="1" customWidth="1"/>
    <col min="6" max="7" width="7.5" style="14" bestFit="1" customWidth="1"/>
    <col min="8" max="8" width="8.5" style="246" bestFit="1" customWidth="1"/>
    <col min="9" max="9" width="8.125" style="14" bestFit="1" customWidth="1"/>
    <col min="10" max="12" width="6.5" style="14" bestFit="1" customWidth="1"/>
    <col min="13" max="13" width="11" style="14" bestFit="1" customWidth="1"/>
  </cols>
  <sheetData>
    <row r="3" spans="2:13" ht="45" customHeight="1">
      <c r="B3" s="98" t="s">
        <v>0</v>
      </c>
      <c r="C3" s="79" t="s">
        <v>1</v>
      </c>
      <c r="D3" s="79" t="s">
        <v>2</v>
      </c>
      <c r="E3" s="121" t="s">
        <v>3</v>
      </c>
      <c r="F3" s="121" t="s">
        <v>4</v>
      </c>
      <c r="G3" s="121" t="s">
        <v>5</v>
      </c>
      <c r="H3" s="245" t="s">
        <v>1149</v>
      </c>
      <c r="I3" s="95" t="s">
        <v>6</v>
      </c>
      <c r="J3" s="95" t="s">
        <v>7</v>
      </c>
      <c r="K3" s="95" t="s">
        <v>8</v>
      </c>
      <c r="L3" s="122" t="s">
        <v>9</v>
      </c>
      <c r="M3" s="121" t="s">
        <v>746</v>
      </c>
    </row>
    <row r="4" spans="2:13">
      <c r="B4" s="104" t="s">
        <v>10</v>
      </c>
      <c r="C4" s="4">
        <v>6.5</v>
      </c>
      <c r="D4" s="5">
        <f>C4/100*42/0.065</f>
        <v>42</v>
      </c>
      <c r="E4" s="11">
        <f>C4/100*1.3/0.065</f>
        <v>1.3</v>
      </c>
      <c r="F4" s="11">
        <f>C4/100*3.7/0.065</f>
        <v>3.7</v>
      </c>
      <c r="G4" s="11">
        <f>C4/100*1.1/0.065</f>
        <v>1.1000000000000001</v>
      </c>
      <c r="H4" s="11">
        <f>C4/100*0</f>
        <v>0</v>
      </c>
      <c r="I4" s="70"/>
      <c r="J4" s="70"/>
      <c r="K4" s="70">
        <f>C4/100*0.6/0.065</f>
        <v>0.6</v>
      </c>
      <c r="L4" s="70"/>
      <c r="M4" s="3">
        <v>5</v>
      </c>
    </row>
    <row r="5" spans="2:13">
      <c r="B5" s="104" t="s">
        <v>11</v>
      </c>
      <c r="C5" s="4">
        <v>100</v>
      </c>
      <c r="D5" s="5">
        <f>C5/100*660</f>
        <v>660</v>
      </c>
      <c r="E5" s="11">
        <f>C5/100*20.5</f>
        <v>20.5</v>
      </c>
      <c r="F5" s="11">
        <f>C5/100*56.1</f>
        <v>56.1</v>
      </c>
      <c r="G5" s="11">
        <f>C5/100*18.5</f>
        <v>18.5</v>
      </c>
      <c r="H5" s="11">
        <f>C5/100*0</f>
        <v>0</v>
      </c>
      <c r="I5" s="70"/>
      <c r="J5" s="70"/>
      <c r="K5" s="70"/>
      <c r="L5" s="11">
        <f>C5/100*0.35589694</f>
        <v>0.35589693999999999</v>
      </c>
      <c r="M5" s="3">
        <v>5</v>
      </c>
    </row>
    <row r="6" spans="2:13">
      <c r="B6" s="104" t="s">
        <v>842</v>
      </c>
      <c r="C6" s="4">
        <v>100</v>
      </c>
      <c r="D6" s="5">
        <f>C6/100*670</f>
        <v>670</v>
      </c>
      <c r="E6" s="11">
        <f>C6/100*20.2</f>
        <v>20.2</v>
      </c>
      <c r="F6" s="11">
        <f>C6/100*57.1</f>
        <v>57.1</v>
      </c>
      <c r="G6" s="11">
        <f>C6/100*18.1</f>
        <v>18.100000000000001</v>
      </c>
      <c r="H6" s="11">
        <f>C6/100*0</f>
        <v>0</v>
      </c>
      <c r="I6" s="70"/>
      <c r="J6" s="70"/>
      <c r="K6" s="70"/>
      <c r="L6" s="11">
        <f>C6/100*0</f>
        <v>0</v>
      </c>
      <c r="M6" s="3">
        <v>5</v>
      </c>
    </row>
    <row r="7" spans="2:13">
      <c r="B7" s="104" t="s">
        <v>837</v>
      </c>
      <c r="C7" s="4">
        <v>97</v>
      </c>
      <c r="D7" s="5">
        <f>C7/100*244/0.97</f>
        <v>244</v>
      </c>
      <c r="E7" s="11">
        <f>C7/100*4.6/0.97</f>
        <v>4.5999999999999996</v>
      </c>
      <c r="F7" s="11">
        <f>C7/100*16.3/0.97</f>
        <v>16.3</v>
      </c>
      <c r="G7" s="11">
        <f>C7/100*19.9/0.97</f>
        <v>19.899999999999999</v>
      </c>
      <c r="H7" s="11">
        <f>C7/100*53/0.97</f>
        <v>53</v>
      </c>
      <c r="I7" s="70"/>
      <c r="J7" s="70"/>
      <c r="K7" s="70"/>
      <c r="L7" s="11">
        <f>C7/100*0.1296481/0.97</f>
        <v>0.12964809999999999</v>
      </c>
      <c r="M7" s="19" t="s">
        <v>751</v>
      </c>
    </row>
    <row r="8" spans="2:13">
      <c r="B8" s="104" t="s">
        <v>12</v>
      </c>
      <c r="C8" s="4">
        <v>97</v>
      </c>
      <c r="D8" s="5">
        <f>C8/100*178/0.97</f>
        <v>178</v>
      </c>
      <c r="E8" s="11">
        <f>C8/100*2.4/0.97</f>
        <v>2.4</v>
      </c>
      <c r="F8" s="11">
        <f>C8/100*8.1/0.97</f>
        <v>8.1</v>
      </c>
      <c r="G8" s="11">
        <f>C8/100*23.8/0.97</f>
        <v>23.8</v>
      </c>
      <c r="H8" s="11">
        <f>C8/100*0</f>
        <v>0</v>
      </c>
      <c r="I8" s="70"/>
      <c r="J8" s="70"/>
      <c r="K8" s="70"/>
      <c r="L8" s="70">
        <f>C8/100*0.0737215/0.97</f>
        <v>7.3721499999999995E-2</v>
      </c>
      <c r="M8" s="19" t="s">
        <v>751</v>
      </c>
    </row>
    <row r="9" spans="2:13">
      <c r="B9" s="104" t="s">
        <v>13</v>
      </c>
      <c r="C9" s="4">
        <v>15</v>
      </c>
      <c r="D9" s="5">
        <f>C9/100*15/0.15</f>
        <v>15</v>
      </c>
      <c r="E9" s="11">
        <f>C9/100*0.5/0.15</f>
        <v>0.5</v>
      </c>
      <c r="F9" s="11">
        <f>C9/100*0/0.15</f>
        <v>0</v>
      </c>
      <c r="G9" s="11">
        <f>C9/100*3.2/0.15</f>
        <v>3.2</v>
      </c>
      <c r="H9" s="11">
        <f>C9/100*0</f>
        <v>0</v>
      </c>
      <c r="I9" s="70"/>
      <c r="J9" s="70"/>
      <c r="K9" s="70"/>
      <c r="L9" s="70">
        <f>C9/100*1.2/0.15</f>
        <v>1.2</v>
      </c>
      <c r="M9" s="3" t="s">
        <v>747</v>
      </c>
    </row>
    <row r="10" spans="2:13">
      <c r="B10" s="105" t="s">
        <v>1045</v>
      </c>
      <c r="C10" s="16">
        <v>15</v>
      </c>
      <c r="D10" s="17">
        <f>C10/100*8/0.15</f>
        <v>8</v>
      </c>
      <c r="E10" s="94">
        <f>C10/100*0.5/0.15</f>
        <v>0.5</v>
      </c>
      <c r="F10" s="94">
        <f>C10/100*0/0.15</f>
        <v>0</v>
      </c>
      <c r="G10" s="94">
        <f>C10/100*1.4/0.15</f>
        <v>1.4</v>
      </c>
      <c r="H10" s="11">
        <f>C10/100*0</f>
        <v>0</v>
      </c>
      <c r="I10" s="70"/>
      <c r="J10" s="70"/>
      <c r="K10" s="70"/>
      <c r="L10" s="11">
        <f>C10/100*0.9/0.15</f>
        <v>0.90000000000000013</v>
      </c>
      <c r="M10" s="3" t="s">
        <v>747</v>
      </c>
    </row>
    <row r="11" spans="2:13">
      <c r="B11" s="104" t="s">
        <v>1045</v>
      </c>
      <c r="C11" s="4">
        <v>15</v>
      </c>
      <c r="D11" s="5">
        <f>C11/100*8/0.15</f>
        <v>8</v>
      </c>
      <c r="E11" s="11">
        <f>C11/100*0.5/0.15</f>
        <v>0.5</v>
      </c>
      <c r="F11" s="11">
        <f>C11/100*0/0.15</f>
        <v>0</v>
      </c>
      <c r="G11" s="11">
        <f>C11/100*0.15/0.15</f>
        <v>0.15</v>
      </c>
      <c r="H11" s="11">
        <f>C11/100*0/0.15</f>
        <v>0</v>
      </c>
      <c r="I11" s="70"/>
      <c r="J11" s="70"/>
      <c r="K11" s="70">
        <f>C11/100*0.1/0.15</f>
        <v>0.1</v>
      </c>
      <c r="L11" s="11">
        <f>C11/100*0.9/0.15</f>
        <v>0.90000000000000013</v>
      </c>
      <c r="M11" s="19" t="s">
        <v>750</v>
      </c>
    </row>
    <row r="12" spans="2:13">
      <c r="B12" s="104" t="s">
        <v>14</v>
      </c>
      <c r="C12" s="4">
        <v>15</v>
      </c>
      <c r="D12" s="5">
        <f>C12/100*9/0.15</f>
        <v>9</v>
      </c>
      <c r="E12" s="11">
        <f>C12/100*0.5/0.15</f>
        <v>0.5</v>
      </c>
      <c r="F12" s="11">
        <f>C12/100*0/0.15</f>
        <v>0</v>
      </c>
      <c r="G12" s="11">
        <f>C12/100*1.5/0.15</f>
        <v>1.5</v>
      </c>
      <c r="H12" s="11">
        <f>C12/100*0</f>
        <v>0</v>
      </c>
      <c r="I12" s="70"/>
      <c r="J12" s="70"/>
      <c r="K12" s="70"/>
      <c r="L12" s="11">
        <f>C12/100*0.9/0.15</f>
        <v>0.90000000000000013</v>
      </c>
      <c r="M12" s="3" t="s">
        <v>747</v>
      </c>
    </row>
    <row r="13" spans="2:13">
      <c r="B13" s="104" t="s">
        <v>15</v>
      </c>
      <c r="C13" s="4">
        <v>100</v>
      </c>
      <c r="D13" s="5">
        <f>C13/100*40</f>
        <v>40</v>
      </c>
      <c r="E13" s="11">
        <f>C13/100*2</f>
        <v>2</v>
      </c>
      <c r="F13" s="11">
        <f>C13/100*0.2</f>
        <v>0.2</v>
      </c>
      <c r="G13" s="11">
        <f>C13/100*9.46</f>
        <v>9.4600000000000009</v>
      </c>
      <c r="H13" s="11">
        <f>C13/100*0</f>
        <v>0</v>
      </c>
      <c r="I13" s="70"/>
      <c r="J13" s="70"/>
      <c r="K13" s="70">
        <f>C13/100*1.5</f>
        <v>1.5</v>
      </c>
      <c r="L13" s="11">
        <f>C13/100*0.0177948</f>
        <v>1.77948E-2</v>
      </c>
      <c r="M13" s="3">
        <v>6</v>
      </c>
    </row>
    <row r="14" spans="2:13">
      <c r="B14" s="81" t="s">
        <v>1136</v>
      </c>
      <c r="C14" s="4">
        <v>100</v>
      </c>
      <c r="D14" s="5">
        <f>C14/100*130</f>
        <v>130</v>
      </c>
      <c r="E14" s="11">
        <f>C14/100*22.1</f>
        <v>22.1</v>
      </c>
      <c r="F14" s="11">
        <f>C14/100*0.6</f>
        <v>0.6</v>
      </c>
      <c r="G14" s="11">
        <f>C14/100*41.7</f>
        <v>41.7</v>
      </c>
      <c r="H14" s="11">
        <f>C14/100*0</f>
        <v>0</v>
      </c>
      <c r="I14" s="70"/>
      <c r="J14" s="70"/>
      <c r="K14" s="70">
        <f>C14/100*29.1</f>
        <v>29.1</v>
      </c>
      <c r="L14" s="11">
        <f>C14/100*9.9142719</f>
        <v>9.9142718999999992</v>
      </c>
      <c r="M14" s="19" t="s">
        <v>750</v>
      </c>
    </row>
    <row r="15" spans="2:13">
      <c r="B15" s="104" t="s">
        <v>1139</v>
      </c>
      <c r="C15" s="4">
        <v>100</v>
      </c>
      <c r="D15" s="5">
        <f>C15/100*105</f>
        <v>105</v>
      </c>
      <c r="E15" s="11">
        <f>C15/100*17.2</f>
        <v>17.2</v>
      </c>
      <c r="F15" s="11">
        <f>C15/100*3.4</f>
        <v>3.4</v>
      </c>
      <c r="G15" s="11">
        <f>C15/100*0.1</f>
        <v>0.1</v>
      </c>
      <c r="H15" s="11">
        <f>C15/100*52</f>
        <v>52</v>
      </c>
      <c r="I15" s="70"/>
      <c r="J15" s="70"/>
      <c r="K15" s="70"/>
      <c r="L15" s="70">
        <f>C15/100*0.2</f>
        <v>0.2</v>
      </c>
      <c r="M15" s="3">
        <v>3</v>
      </c>
    </row>
    <row r="16" spans="2:13">
      <c r="B16" s="104" t="s">
        <v>16</v>
      </c>
      <c r="C16" s="4">
        <v>100</v>
      </c>
      <c r="D16" s="5">
        <f>C16/100*74</f>
        <v>74</v>
      </c>
      <c r="E16" s="11">
        <f>C16/100*13.5</f>
        <v>13.5</v>
      </c>
      <c r="F16" s="11">
        <f>C16/100*0.3</f>
        <v>0.3</v>
      </c>
      <c r="G16" s="11">
        <f>C16/100*3.5</f>
        <v>3.5</v>
      </c>
      <c r="H16" s="11">
        <f>C16/100*46</f>
        <v>46</v>
      </c>
      <c r="I16" s="70"/>
      <c r="J16" s="70"/>
      <c r="K16" s="70"/>
      <c r="L16" s="70">
        <f>C16/100*0.8</f>
        <v>0.8</v>
      </c>
      <c r="M16" s="3">
        <v>3</v>
      </c>
    </row>
    <row r="17" spans="2:13">
      <c r="B17" s="104" t="s">
        <v>963</v>
      </c>
      <c r="C17" s="4">
        <v>100</v>
      </c>
      <c r="D17" s="5">
        <f>C17/100*386</f>
        <v>386</v>
      </c>
      <c r="E17" s="11">
        <f>C17/100*18.6</f>
        <v>18.600000000000001</v>
      </c>
      <c r="F17" s="11">
        <f>C17/100*33.1</f>
        <v>33.1</v>
      </c>
      <c r="G17" s="11">
        <f>C17/100*2.5</f>
        <v>2.5</v>
      </c>
      <c r="H17" s="11">
        <f t="shared" ref="H17:H22" si="0">C17/100*0</f>
        <v>0</v>
      </c>
      <c r="I17" s="70"/>
      <c r="J17" s="70"/>
      <c r="K17" s="70"/>
      <c r="L17" s="11">
        <f>C17/100*0.0254212</f>
        <v>2.5421200000000001E-2</v>
      </c>
      <c r="M17" s="3">
        <v>3</v>
      </c>
    </row>
    <row r="18" spans="2:13">
      <c r="B18" s="104" t="s">
        <v>1052</v>
      </c>
      <c r="C18" s="4">
        <v>100</v>
      </c>
      <c r="D18" s="5">
        <f>C18/100*182</f>
        <v>182</v>
      </c>
      <c r="E18" s="11">
        <f>C18/100*15.1</f>
        <v>15.1</v>
      </c>
      <c r="F18" s="11">
        <f>C18/100*8.6</f>
        <v>8.6</v>
      </c>
      <c r="G18" s="11">
        <f>C18/100*11.2</f>
        <v>11.2</v>
      </c>
      <c r="H18" s="11">
        <f t="shared" si="0"/>
        <v>0</v>
      </c>
      <c r="I18" s="70"/>
      <c r="J18" s="70"/>
      <c r="K18" s="70">
        <f>C18/100*0.3</f>
        <v>0.3</v>
      </c>
      <c r="L18" s="11">
        <f>C18/100*1.6905104</f>
        <v>1.6905104</v>
      </c>
      <c r="M18" s="19">
        <v>3</v>
      </c>
    </row>
    <row r="19" spans="2:13">
      <c r="B19" s="250" t="s">
        <v>17</v>
      </c>
      <c r="C19" s="4">
        <v>62</v>
      </c>
      <c r="D19" s="5">
        <f>C19/100*108/0.62</f>
        <v>107.99999999999999</v>
      </c>
      <c r="E19" s="11">
        <f>C19/100*7.1/0.62</f>
        <v>7.1000000000000005</v>
      </c>
      <c r="F19" s="11">
        <f>C19/100*4.8/0.62</f>
        <v>4.8</v>
      </c>
      <c r="G19" s="11">
        <f>C19/100*9.1/0.62</f>
        <v>9.1</v>
      </c>
      <c r="H19" s="11">
        <f t="shared" si="0"/>
        <v>0</v>
      </c>
      <c r="I19" s="70"/>
      <c r="J19" s="70"/>
      <c r="K19" s="70"/>
      <c r="L19" s="11">
        <f>C19/100*0.8363578/0.62</f>
        <v>0.83635780000000004</v>
      </c>
      <c r="M19" s="3">
        <v>3</v>
      </c>
    </row>
    <row r="20" spans="2:13">
      <c r="B20" s="104" t="s">
        <v>18</v>
      </c>
      <c r="C20" s="4">
        <v>86</v>
      </c>
      <c r="D20" s="5">
        <f>C20/100*133/0.86</f>
        <v>133</v>
      </c>
      <c r="E20" s="11">
        <f>C20/100*2.7/0.86</f>
        <v>2.7</v>
      </c>
      <c r="F20" s="11">
        <f>C20/100*9.1/0.86</f>
        <v>9.1</v>
      </c>
      <c r="G20" s="11">
        <f>C20/100*10.3/0.86</f>
        <v>10.3</v>
      </c>
      <c r="H20" s="11">
        <f t="shared" si="0"/>
        <v>0</v>
      </c>
      <c r="I20" s="70"/>
      <c r="J20" s="70"/>
      <c r="K20" s="70"/>
      <c r="L20" s="11">
        <f>C20/100*0.41436/0.86</f>
        <v>0.41436000000000001</v>
      </c>
      <c r="M20" s="3">
        <v>3</v>
      </c>
    </row>
    <row r="21" spans="2:13">
      <c r="B21" s="104" t="s">
        <v>19</v>
      </c>
      <c r="C21" s="4">
        <v>72</v>
      </c>
      <c r="D21" s="5">
        <f>C21/100*133/6/0.72</f>
        <v>22.166666666666668</v>
      </c>
      <c r="E21" s="11">
        <f>C21/100*2.7/6/0.72</f>
        <v>0.45</v>
      </c>
      <c r="F21" s="11">
        <f>C21/100*9.1/6/0.72</f>
        <v>1.5166666666666666</v>
      </c>
      <c r="G21" s="11">
        <f>C21/100*10.3/6/0.72</f>
        <v>1.7166666666666668</v>
      </c>
      <c r="H21" s="11">
        <f t="shared" si="0"/>
        <v>0</v>
      </c>
      <c r="I21" s="70"/>
      <c r="J21" s="70"/>
      <c r="K21" s="70"/>
      <c r="L21" s="70"/>
      <c r="M21" s="3">
        <v>3</v>
      </c>
    </row>
    <row r="22" spans="2:13">
      <c r="B22" s="104" t="s">
        <v>20</v>
      </c>
      <c r="C22" s="4">
        <v>90</v>
      </c>
      <c r="D22" s="5">
        <f>C22/100*113/0.9</f>
        <v>113</v>
      </c>
      <c r="E22" s="11">
        <f>C22/100*15.5/0.9</f>
        <v>15.5</v>
      </c>
      <c r="F22" s="11">
        <f>C22/100*5.6/0.9</f>
        <v>5.6</v>
      </c>
      <c r="G22" s="11">
        <f>C22/100*0.3/0.9</f>
        <v>0.3</v>
      </c>
      <c r="H22" s="11">
        <f t="shared" si="0"/>
        <v>0</v>
      </c>
      <c r="I22" s="70"/>
      <c r="J22" s="70"/>
      <c r="K22" s="70"/>
      <c r="L22" s="70"/>
      <c r="M22" s="3">
        <v>3</v>
      </c>
    </row>
    <row r="23" spans="2:13">
      <c r="B23" s="104" t="s">
        <v>21</v>
      </c>
      <c r="C23" s="4">
        <v>100</v>
      </c>
      <c r="D23" s="5">
        <f>C23/100*30</f>
        <v>30</v>
      </c>
      <c r="E23" s="11">
        <f>C23/100*6</f>
        <v>6</v>
      </c>
      <c r="F23" s="11">
        <f>C23/100*0.3</f>
        <v>0.3</v>
      </c>
      <c r="G23" s="11">
        <f>C23/100*0.4</f>
        <v>0.4</v>
      </c>
      <c r="H23" s="11">
        <f>C23/100*40</f>
        <v>40</v>
      </c>
      <c r="I23" s="70"/>
      <c r="J23" s="70"/>
      <c r="K23" s="70"/>
      <c r="L23" s="70">
        <f>C23/100*2.2</f>
        <v>2.2000000000000002</v>
      </c>
      <c r="M23" s="3">
        <v>3</v>
      </c>
    </row>
    <row r="24" spans="2:13">
      <c r="B24" s="81" t="s">
        <v>1230</v>
      </c>
      <c r="C24" s="4">
        <v>100</v>
      </c>
      <c r="D24" s="5">
        <f>C24/100*69</f>
        <v>69</v>
      </c>
      <c r="E24" s="11">
        <f>C24/100*10.4</f>
        <v>10.4</v>
      </c>
      <c r="F24" s="11">
        <f>C24/100*1.3</f>
        <v>1.3</v>
      </c>
      <c r="G24" s="11">
        <f>C24/100*3.9</f>
        <v>3.9</v>
      </c>
      <c r="H24" s="11">
        <f>C24/100*92</f>
        <v>92</v>
      </c>
      <c r="I24" s="70"/>
      <c r="J24" s="70"/>
      <c r="K24" s="70"/>
      <c r="L24" s="11">
        <f>C24/100*0.8897423</f>
        <v>0.88974229999999999</v>
      </c>
      <c r="M24" s="19">
        <v>3</v>
      </c>
    </row>
    <row r="25" spans="2:13">
      <c r="B25" s="103" t="s">
        <v>22</v>
      </c>
      <c r="C25" s="4">
        <v>100</v>
      </c>
      <c r="D25" s="5">
        <f>C25/100*121</f>
        <v>121</v>
      </c>
      <c r="E25" s="11">
        <f>C25/100*20.7</f>
        <v>20.7</v>
      </c>
      <c r="F25" s="11">
        <f>C25/100*3.5</f>
        <v>3.5</v>
      </c>
      <c r="G25" s="11">
        <f>C25/100*0.1</f>
        <v>0.1</v>
      </c>
      <c r="H25" s="11">
        <f>C25/100*77</f>
        <v>77</v>
      </c>
      <c r="I25" s="70"/>
      <c r="J25" s="70"/>
      <c r="K25" s="70"/>
      <c r="L25" s="70">
        <f>C25/100*0.3</f>
        <v>0.3</v>
      </c>
      <c r="M25" s="3">
        <v>3</v>
      </c>
    </row>
    <row r="26" spans="2:13">
      <c r="B26" s="107" t="s">
        <v>23</v>
      </c>
      <c r="C26" s="4">
        <v>100</v>
      </c>
      <c r="D26" s="5">
        <f>C26/100*179</f>
        <v>179</v>
      </c>
      <c r="E26" s="11">
        <f>C26/100*40</f>
        <v>40</v>
      </c>
      <c r="F26" s="11">
        <f>C26/100*3.5</f>
        <v>3.5</v>
      </c>
      <c r="G26" s="11">
        <f>C26/100*41.8</f>
        <v>41.8</v>
      </c>
      <c r="H26" s="11">
        <f>C26/100*0</f>
        <v>0</v>
      </c>
      <c r="I26" s="70"/>
      <c r="J26" s="70"/>
      <c r="K26" s="70">
        <f>C26/100*25.2</f>
        <v>25.2</v>
      </c>
      <c r="L26" s="11">
        <f>C26/100*4.3</f>
        <v>4.3</v>
      </c>
      <c r="M26" s="3">
        <v>6</v>
      </c>
    </row>
    <row r="27" spans="2:13">
      <c r="B27" s="81" t="s">
        <v>1078</v>
      </c>
      <c r="C27" s="4">
        <v>45</v>
      </c>
      <c r="D27" s="5">
        <f>C27/100*11/0.45</f>
        <v>11</v>
      </c>
      <c r="E27" s="11">
        <f>C27/100*0.5/0.45</f>
        <v>0.5</v>
      </c>
      <c r="F27" s="11">
        <f>C27/100*0.1/0.45</f>
        <v>0.1</v>
      </c>
      <c r="G27" s="11">
        <f>C27/100*3.2/0.45</f>
        <v>3.2</v>
      </c>
      <c r="H27" s="11">
        <f>C27/100*0</f>
        <v>0</v>
      </c>
      <c r="I27" s="70"/>
      <c r="J27" s="70"/>
      <c r="K27" s="70">
        <f>C27/100*2.35/0.45</f>
        <v>2.35</v>
      </c>
      <c r="L27" s="11">
        <f>C27/100*0.6863726/0.45</f>
        <v>0.6863726</v>
      </c>
      <c r="M27" s="3">
        <v>6</v>
      </c>
    </row>
    <row r="28" spans="2:13">
      <c r="B28" s="104" t="s">
        <v>1023</v>
      </c>
      <c r="C28" s="4">
        <v>100</v>
      </c>
      <c r="D28" s="5">
        <f>C28/100*204</f>
        <v>204</v>
      </c>
      <c r="E28" s="11">
        <f>C28/100*13.6</f>
        <v>13.6</v>
      </c>
      <c r="F28" s="11">
        <f>C28/100*13.5</f>
        <v>13.5</v>
      </c>
      <c r="G28" s="11">
        <f>C28/100*6.9</f>
        <v>6.9</v>
      </c>
      <c r="H28" s="11">
        <f>C28/100*0</f>
        <v>0</v>
      </c>
      <c r="I28" s="70"/>
      <c r="J28" s="70"/>
      <c r="K28" s="70">
        <f>C28/100*1.4</f>
        <v>1.4</v>
      </c>
      <c r="L28" s="11">
        <f>C28/100*1.8608325</f>
        <v>1.8608324999999999</v>
      </c>
      <c r="M28" s="3">
        <v>3</v>
      </c>
    </row>
    <row r="29" spans="2:13">
      <c r="B29" s="104" t="s">
        <v>1051</v>
      </c>
      <c r="C29" s="4">
        <v>100</v>
      </c>
      <c r="D29" s="5">
        <f>C29/100*167</f>
        <v>167</v>
      </c>
      <c r="E29" s="11">
        <f>C29/100*12.2</f>
        <v>12.2</v>
      </c>
      <c r="F29" s="11">
        <f>C29/100*9.8</f>
        <v>9.8000000000000007</v>
      </c>
      <c r="G29" s="11">
        <f>C29/100*7.5</f>
        <v>7.5</v>
      </c>
      <c r="H29" s="11">
        <f>C29/100*0</f>
        <v>0</v>
      </c>
      <c r="I29" s="70"/>
      <c r="J29" s="70"/>
      <c r="K29" s="70"/>
      <c r="L29" s="11">
        <f>C29/100*1.9065907</f>
        <v>1.9065907</v>
      </c>
      <c r="M29" s="3">
        <v>3</v>
      </c>
    </row>
    <row r="30" spans="2:13">
      <c r="B30" s="103" t="s">
        <v>24</v>
      </c>
      <c r="C30" s="4">
        <v>100</v>
      </c>
      <c r="D30" s="5">
        <f>C30/100*220</f>
        <v>220</v>
      </c>
      <c r="E30" s="11">
        <f>C30/100*24.6</f>
        <v>24.6</v>
      </c>
      <c r="F30" s="11">
        <f>C30/100*12.3</f>
        <v>12.3</v>
      </c>
      <c r="G30" s="11">
        <f>C30/100*0.1</f>
        <v>0.1</v>
      </c>
      <c r="H30" s="11">
        <f>C30/100*96</f>
        <v>96</v>
      </c>
      <c r="I30" s="70"/>
      <c r="J30" s="70"/>
      <c r="K30" s="70"/>
      <c r="L30" s="70">
        <f>C30/100*2</f>
        <v>2</v>
      </c>
      <c r="M30" s="3">
        <v>3</v>
      </c>
    </row>
    <row r="31" spans="2:13">
      <c r="B31" s="104" t="s">
        <v>25</v>
      </c>
      <c r="C31" s="4">
        <v>100</v>
      </c>
      <c r="D31" s="5">
        <f>C31/100*339</f>
        <v>339</v>
      </c>
      <c r="E31" s="11">
        <f>C31/100*20.3</f>
        <v>20.3</v>
      </c>
      <c r="F31" s="11">
        <f>C31/100*2.2</f>
        <v>2.2000000000000002</v>
      </c>
      <c r="G31" s="11">
        <f>C31/100*58.7</f>
        <v>58.7</v>
      </c>
      <c r="H31" s="11">
        <f t="shared" ref="H31:H52" si="1">C31/100*0</f>
        <v>0</v>
      </c>
      <c r="I31" s="70">
        <f>C31/100*1.2</f>
        <v>1.2</v>
      </c>
      <c r="J31" s="70">
        <f>C31/100*16.6</f>
        <v>16.600000000000001</v>
      </c>
      <c r="K31" s="70">
        <f>C31/100*17.8</f>
        <v>17.8</v>
      </c>
      <c r="L31" s="70">
        <f>C31/100*0</f>
        <v>0</v>
      </c>
      <c r="M31" s="3">
        <v>3</v>
      </c>
    </row>
    <row r="32" spans="2:13">
      <c r="B32" s="104" t="s">
        <v>26</v>
      </c>
      <c r="C32" s="4">
        <v>100</v>
      </c>
      <c r="D32" s="5">
        <f>C32/100*143</f>
        <v>143</v>
      </c>
      <c r="E32" s="11">
        <f>C32/100*8.9</f>
        <v>8.9</v>
      </c>
      <c r="F32" s="11">
        <f>C32/100*1</f>
        <v>1</v>
      </c>
      <c r="G32" s="11">
        <f>C32/100*24.2</f>
        <v>24.2</v>
      </c>
      <c r="H32" s="11">
        <f t="shared" si="1"/>
        <v>0</v>
      </c>
      <c r="I32" s="70">
        <f>C32/100*0.8</f>
        <v>0.8</v>
      </c>
      <c r="J32" s="70">
        <f>C32/100*11</f>
        <v>11</v>
      </c>
      <c r="K32" s="70">
        <f>C32/100*11.8</f>
        <v>11.8</v>
      </c>
      <c r="L32" s="70">
        <f>C32/100*0</f>
        <v>0</v>
      </c>
      <c r="M32" s="3">
        <v>3</v>
      </c>
    </row>
    <row r="33" spans="2:13">
      <c r="B33" s="104" t="s">
        <v>1048</v>
      </c>
      <c r="C33" s="4">
        <v>38.299999999999997</v>
      </c>
      <c r="D33" s="5">
        <f>C33/100*24/0.383</f>
        <v>23.999999999999996</v>
      </c>
      <c r="E33" s="11">
        <f>C33/100*1.4/0.383</f>
        <v>1.3999999999999997</v>
      </c>
      <c r="F33" s="11">
        <f>C33/100*0.1/0.383</f>
        <v>0.1</v>
      </c>
      <c r="G33" s="11">
        <f>C33/100*4.9/0.383</f>
        <v>4.8999999999999995</v>
      </c>
      <c r="H33" s="11">
        <f t="shared" si="1"/>
        <v>0</v>
      </c>
      <c r="I33" s="70"/>
      <c r="J33" s="70"/>
      <c r="K33" s="70">
        <f>C33/100*1.1/0.383</f>
        <v>1.1000000000000001</v>
      </c>
      <c r="L33" s="11">
        <f>C33/100*0.2542121/0.383</f>
        <v>0.2542121</v>
      </c>
      <c r="M33" s="3">
        <v>3</v>
      </c>
    </row>
    <row r="34" spans="2:13">
      <c r="B34" s="104" t="s">
        <v>27</v>
      </c>
      <c r="C34" s="4">
        <v>100</v>
      </c>
      <c r="D34" s="5">
        <f>C34/100*22</f>
        <v>22</v>
      </c>
      <c r="E34" s="11">
        <f>C34/100*2.6</f>
        <v>2.6</v>
      </c>
      <c r="F34" s="11">
        <f>C34/100*0.2</f>
        <v>0.2</v>
      </c>
      <c r="G34" s="11">
        <f>C34/100*3.9</f>
        <v>3.9</v>
      </c>
      <c r="H34" s="11">
        <f t="shared" si="1"/>
        <v>0</v>
      </c>
      <c r="I34" s="70">
        <f>C34/100*0.4</f>
        <v>0.4</v>
      </c>
      <c r="J34" s="70">
        <f>C34/100*1.4</f>
        <v>1.4</v>
      </c>
      <c r="K34" s="70">
        <f>C34/100*1.8</f>
        <v>1.8</v>
      </c>
      <c r="L34" s="70">
        <f>C34/100*0</f>
        <v>0</v>
      </c>
      <c r="M34" s="3">
        <v>6</v>
      </c>
    </row>
    <row r="35" spans="2:13">
      <c r="B35" s="81" t="s">
        <v>1106</v>
      </c>
      <c r="C35" s="4">
        <v>100</v>
      </c>
      <c r="D35" s="5">
        <f>C35/100*22.77</f>
        <v>22.77</v>
      </c>
      <c r="E35" s="11">
        <f>C35/100*2.69</f>
        <v>2.69</v>
      </c>
      <c r="F35" s="11">
        <f>C35/100*0.21</f>
        <v>0.21</v>
      </c>
      <c r="G35" s="11">
        <f>C35/100*4.04</f>
        <v>4.04</v>
      </c>
      <c r="H35" s="11">
        <f t="shared" si="1"/>
        <v>0</v>
      </c>
      <c r="I35" s="70">
        <f>C35/100*0.41</f>
        <v>0.41</v>
      </c>
      <c r="J35" s="70">
        <f>C35/100*1.45</f>
        <v>1.45</v>
      </c>
      <c r="K35" s="70">
        <f>C35/100*1.86</f>
        <v>1.86</v>
      </c>
      <c r="L35" s="11">
        <f>C35/100*0</f>
        <v>0</v>
      </c>
      <c r="M35" s="3">
        <v>6</v>
      </c>
    </row>
    <row r="36" spans="2:13">
      <c r="B36" s="104" t="s">
        <v>28</v>
      </c>
      <c r="C36" s="4">
        <v>100</v>
      </c>
      <c r="D36" s="5">
        <f>C36/100*24</f>
        <v>24</v>
      </c>
      <c r="E36" s="11">
        <f>C36/100*2.6</f>
        <v>2.6</v>
      </c>
      <c r="F36" s="11">
        <f>C36/100*0.1</f>
        <v>0.1</v>
      </c>
      <c r="G36" s="11">
        <f>C36/100*4.6</f>
        <v>4.5999999999999996</v>
      </c>
      <c r="H36" s="11">
        <f t="shared" si="1"/>
        <v>0</v>
      </c>
      <c r="I36" s="70">
        <f>C36/100*0.5</f>
        <v>0.5</v>
      </c>
      <c r="J36" s="70">
        <f>C36/100*1.6</f>
        <v>1.6</v>
      </c>
      <c r="K36" s="70">
        <f>C36/100*2.1</f>
        <v>2.1</v>
      </c>
      <c r="L36" s="70">
        <f>C36/100*0</f>
        <v>0</v>
      </c>
      <c r="M36" s="3">
        <v>6</v>
      </c>
    </row>
    <row r="37" spans="2:13">
      <c r="B37" s="104" t="s">
        <v>29</v>
      </c>
      <c r="C37" s="4">
        <v>100</v>
      </c>
      <c r="D37" s="5">
        <f>C37/100*150</f>
        <v>150</v>
      </c>
      <c r="E37" s="11">
        <f>C37/100*10.7</f>
        <v>10.7</v>
      </c>
      <c r="F37" s="11">
        <f>C37/100*11.3</f>
        <v>11.3</v>
      </c>
      <c r="G37" s="11">
        <f>C37/100*0.9</f>
        <v>0.9</v>
      </c>
      <c r="H37" s="11">
        <f t="shared" si="1"/>
        <v>0</v>
      </c>
      <c r="I37" s="70">
        <f>C37/100*0.2</f>
        <v>0.2</v>
      </c>
      <c r="J37" s="70">
        <f>C37/100*0.5</f>
        <v>0.5</v>
      </c>
      <c r="K37" s="70">
        <f>C37/100*0.7</f>
        <v>0.7</v>
      </c>
      <c r="L37" s="11">
        <f>C37/100*0</f>
        <v>0</v>
      </c>
      <c r="M37" s="3">
        <v>3</v>
      </c>
    </row>
    <row r="38" spans="2:13">
      <c r="B38" s="104" t="s">
        <v>958</v>
      </c>
      <c r="C38" s="4">
        <v>106.1</v>
      </c>
      <c r="D38" s="5">
        <f>C38/100*306/1.061</f>
        <v>306</v>
      </c>
      <c r="E38" s="11">
        <f>C38/100*8.8/1.061</f>
        <v>8.8000000000000007</v>
      </c>
      <c r="F38" s="11">
        <f>C38/100*8.2/1.061</f>
        <v>8.1999999999999993</v>
      </c>
      <c r="G38" s="11">
        <f>C38/100*49.4/1.061</f>
        <v>49.4</v>
      </c>
      <c r="H38" s="11">
        <f t="shared" si="1"/>
        <v>0</v>
      </c>
      <c r="I38" s="70">
        <f>C38/100*0.9/1.061</f>
        <v>0.9</v>
      </c>
      <c r="J38" s="70">
        <f>C38/100*1/1.061</f>
        <v>1</v>
      </c>
      <c r="K38" s="70">
        <f>C38/100*1.9/1.061</f>
        <v>1.9</v>
      </c>
      <c r="L38" s="11">
        <f>C38/100*1.0600644/1.061</f>
        <v>1.0600643999999999</v>
      </c>
      <c r="M38" s="19" t="s">
        <v>751</v>
      </c>
    </row>
    <row r="39" spans="2:13">
      <c r="B39" s="104" t="s">
        <v>30</v>
      </c>
      <c r="C39" s="4">
        <v>100</v>
      </c>
      <c r="D39" s="5">
        <f>C39/100*126/0.14</f>
        <v>899.99999999999989</v>
      </c>
      <c r="E39" s="11">
        <f>C39/100*0/0.14</f>
        <v>0</v>
      </c>
      <c r="F39" s="11">
        <f>C39/100*14/0.14</f>
        <v>99.999999999999986</v>
      </c>
      <c r="G39" s="11">
        <f>C39/100*0/0.14</f>
        <v>0</v>
      </c>
      <c r="H39" s="11">
        <f t="shared" si="1"/>
        <v>0</v>
      </c>
      <c r="I39" s="70"/>
      <c r="J39" s="70"/>
      <c r="K39" s="70">
        <f>C39/100*0</f>
        <v>0</v>
      </c>
      <c r="L39" s="70">
        <f>C39/100*0</f>
        <v>0</v>
      </c>
      <c r="M39" s="3">
        <v>5</v>
      </c>
    </row>
    <row r="40" spans="2:13">
      <c r="B40" s="104" t="s">
        <v>31</v>
      </c>
      <c r="C40" s="4">
        <v>20</v>
      </c>
      <c r="D40" s="5">
        <f>C40/100*55/0.2</f>
        <v>55</v>
      </c>
      <c r="E40" s="11">
        <f>C40/100*4.2/0.2</f>
        <v>4.2</v>
      </c>
      <c r="F40" s="11">
        <f>C40/100*3.7/0.2</f>
        <v>3.7</v>
      </c>
      <c r="G40" s="11">
        <f>C40/100*1.3/0.2</f>
        <v>1.3</v>
      </c>
      <c r="H40" s="11">
        <f t="shared" si="1"/>
        <v>0</v>
      </c>
      <c r="I40" s="70"/>
      <c r="J40" s="70"/>
      <c r="K40" s="70">
        <f>C40/100*0.22/0.2</f>
        <v>0.22</v>
      </c>
      <c r="L40" s="11">
        <f>C40/100*0.0033047/0.2</f>
        <v>3.3047000000000003E-3</v>
      </c>
      <c r="M40" s="3">
        <v>3</v>
      </c>
    </row>
    <row r="41" spans="2:13">
      <c r="B41" s="104" t="s">
        <v>880</v>
      </c>
      <c r="C41" s="4">
        <v>100</v>
      </c>
      <c r="D41" s="5">
        <f>C41/100*291</f>
        <v>291</v>
      </c>
      <c r="E41" s="11">
        <f>C41/100*23.6</f>
        <v>23.6</v>
      </c>
      <c r="F41" s="11">
        <f>C41/100*20.8</f>
        <v>20.8</v>
      </c>
      <c r="G41" s="11">
        <f>C41/100*2.4</f>
        <v>2.4</v>
      </c>
      <c r="H41" s="11">
        <f t="shared" si="1"/>
        <v>0</v>
      </c>
      <c r="I41" s="70">
        <f>C41/100*0.5</f>
        <v>0.5</v>
      </c>
      <c r="J41" s="70">
        <f>C41/100*0.6</f>
        <v>0.6</v>
      </c>
      <c r="K41" s="70">
        <f>C41/100*1.1</f>
        <v>1.1000000000000001</v>
      </c>
      <c r="L41" s="11">
        <f>C41/100*0</f>
        <v>0</v>
      </c>
      <c r="M41" s="3">
        <v>3</v>
      </c>
    </row>
    <row r="42" spans="2:13">
      <c r="B42" s="104" t="s">
        <v>32</v>
      </c>
      <c r="C42" s="4">
        <v>50</v>
      </c>
      <c r="D42" s="5">
        <f>C42/100*91/0.5</f>
        <v>91</v>
      </c>
      <c r="E42" s="11">
        <f>C42/100*2/0.5</f>
        <v>2</v>
      </c>
      <c r="F42" s="11">
        <f>C42/100*0.7/0.5</f>
        <v>0.7</v>
      </c>
      <c r="G42" s="11">
        <f>C42/100*20.4/0.5</f>
        <v>20.399999999999999</v>
      </c>
      <c r="H42" s="11">
        <f t="shared" si="1"/>
        <v>0</v>
      </c>
      <c r="I42" s="70"/>
      <c r="J42" s="70"/>
      <c r="K42" s="70">
        <f>C42/100*2.7/0.5</f>
        <v>2.7</v>
      </c>
      <c r="L42" s="11">
        <f>C42/100*0/0.5</f>
        <v>0</v>
      </c>
      <c r="M42" s="3">
        <v>1</v>
      </c>
    </row>
    <row r="43" spans="2:13">
      <c r="B43" s="104" t="s">
        <v>33</v>
      </c>
      <c r="C43" s="4">
        <v>70</v>
      </c>
      <c r="D43" s="5">
        <f>C43/100*127/0.7</f>
        <v>127</v>
      </c>
      <c r="E43" s="11">
        <f>C43/100*2.6/0.7</f>
        <v>2.6</v>
      </c>
      <c r="F43" s="11">
        <f>C43/100*0.9/0.7</f>
        <v>0.9</v>
      </c>
      <c r="G43" s="11">
        <f>C43/100*29/0.7</f>
        <v>28.999999999999996</v>
      </c>
      <c r="H43" s="11">
        <f t="shared" si="1"/>
        <v>0</v>
      </c>
      <c r="I43" s="70"/>
      <c r="J43" s="70"/>
      <c r="K43" s="70">
        <f>C43/100*4/0.7</f>
        <v>4</v>
      </c>
      <c r="L43" s="11">
        <f>C43/100*0/0.7</f>
        <v>0</v>
      </c>
      <c r="M43" s="3">
        <v>1</v>
      </c>
    </row>
    <row r="44" spans="2:13">
      <c r="B44" s="104" t="s">
        <v>908</v>
      </c>
      <c r="C44" s="4">
        <v>100</v>
      </c>
      <c r="D44" s="5">
        <f>C44/100*81</f>
        <v>81</v>
      </c>
      <c r="E44" s="11">
        <f>C44/100*1.7</f>
        <v>1.7</v>
      </c>
      <c r="F44" s="11">
        <f>C44/100*0.1</f>
        <v>0.1</v>
      </c>
      <c r="G44" s="11">
        <f>C44/100*18.3</f>
        <v>18.3</v>
      </c>
      <c r="H44" s="11">
        <f t="shared" si="1"/>
        <v>0</v>
      </c>
      <c r="I44" s="70"/>
      <c r="J44" s="70"/>
      <c r="K44" s="70">
        <f>C44/100*0.4</f>
        <v>0.4</v>
      </c>
      <c r="L44" s="11">
        <f>C44/100*0.1525272</f>
        <v>0.1525272</v>
      </c>
      <c r="M44" s="19" t="s">
        <v>751</v>
      </c>
    </row>
    <row r="45" spans="2:13">
      <c r="B45" s="104" t="s">
        <v>34</v>
      </c>
      <c r="C45" s="4">
        <v>100</v>
      </c>
      <c r="D45" s="5">
        <f>C45/100*296</f>
        <v>296</v>
      </c>
      <c r="E45" s="11">
        <f>C45/100*5.6</f>
        <v>5.6</v>
      </c>
      <c r="F45" s="11">
        <f>C45/100*0.6</f>
        <v>0.6</v>
      </c>
      <c r="G45" s="11">
        <f>C45/100*67.1</f>
        <v>67.099999999999994</v>
      </c>
      <c r="H45" s="11">
        <f t="shared" si="1"/>
        <v>0</v>
      </c>
      <c r="I45" s="70">
        <f>C45/100*0.4</f>
        <v>0.4</v>
      </c>
      <c r="J45" s="70">
        <f>C45/100*4.3</f>
        <v>4.3</v>
      </c>
      <c r="K45" s="70">
        <f>C45/100*4.7</f>
        <v>4.7</v>
      </c>
      <c r="L45" s="11">
        <f>C45/100*0.1</f>
        <v>0.1</v>
      </c>
      <c r="M45" s="19" t="s">
        <v>751</v>
      </c>
    </row>
    <row r="46" spans="2:13">
      <c r="B46" s="104" t="s">
        <v>35</v>
      </c>
      <c r="C46" s="4">
        <v>14.5</v>
      </c>
      <c r="D46" s="5">
        <f>C46/100*46/0.145</f>
        <v>46</v>
      </c>
      <c r="E46" s="11">
        <f>C46/100*0.8/0.145</f>
        <v>0.8</v>
      </c>
      <c r="F46" s="11">
        <f>C46/100*0.1/0.145</f>
        <v>0.1</v>
      </c>
      <c r="G46" s="11">
        <f>C46/100*10.5/0.145</f>
        <v>10.5</v>
      </c>
      <c r="H46" s="11">
        <f t="shared" si="1"/>
        <v>0</v>
      </c>
      <c r="I46" s="70"/>
      <c r="J46" s="70"/>
      <c r="K46" s="70"/>
      <c r="L46" s="11">
        <f>C46/100*0.0406739/0.145</f>
        <v>4.0673899999999999E-2</v>
      </c>
      <c r="M46" s="19" t="s">
        <v>751</v>
      </c>
    </row>
    <row r="47" spans="2:13">
      <c r="B47" s="104" t="s">
        <v>36</v>
      </c>
      <c r="C47" s="4">
        <v>100</v>
      </c>
      <c r="D47" s="5">
        <f>C47/100*310</f>
        <v>310</v>
      </c>
      <c r="E47" s="11">
        <f>C47/100*5.2</f>
        <v>5.2</v>
      </c>
      <c r="F47" s="11">
        <f>C47/100*1</f>
        <v>1</v>
      </c>
      <c r="G47" s="11">
        <f>C47/100*70.1</f>
        <v>70.099999999999994</v>
      </c>
      <c r="H47" s="11">
        <f t="shared" si="1"/>
        <v>0</v>
      </c>
      <c r="I47" s="70">
        <f>C47/100*0.6</f>
        <v>0.6</v>
      </c>
      <c r="J47" s="70">
        <f>C47/100*4.3</f>
        <v>4.3</v>
      </c>
      <c r="K47" s="70">
        <f>C47/100*4.9</f>
        <v>4.9000000000000004</v>
      </c>
      <c r="L47" s="11">
        <f>C47/100*0.2</f>
        <v>0.2</v>
      </c>
      <c r="M47" s="19" t="s">
        <v>751</v>
      </c>
    </row>
    <row r="48" spans="2:13">
      <c r="B48" s="104" t="s">
        <v>37</v>
      </c>
      <c r="C48" s="4">
        <v>100</v>
      </c>
      <c r="D48" s="5">
        <f>C48/100*324</f>
        <v>324</v>
      </c>
      <c r="E48" s="11">
        <f>C48/100*6.7</f>
        <v>6.7</v>
      </c>
      <c r="F48" s="11">
        <f>C48/100*0.4</f>
        <v>0.4</v>
      </c>
      <c r="G48" s="11">
        <f>C48/100*73.3</f>
        <v>73.3</v>
      </c>
      <c r="H48" s="11">
        <f t="shared" si="1"/>
        <v>0</v>
      </c>
      <c r="I48" s="70"/>
      <c r="J48" s="70"/>
      <c r="K48" s="70"/>
      <c r="L48" s="11">
        <f>C48/100*0.022879</f>
        <v>2.2879E-2</v>
      </c>
      <c r="M48" s="19" t="s">
        <v>751</v>
      </c>
    </row>
    <row r="49" spans="2:13">
      <c r="B49" s="104" t="s">
        <v>38</v>
      </c>
      <c r="C49" s="4">
        <v>14.5</v>
      </c>
      <c r="D49" s="5">
        <f>C49/100*45/0.145</f>
        <v>45</v>
      </c>
      <c r="E49" s="11">
        <f>C49/100*0.9/0.145</f>
        <v>0.90000000000000013</v>
      </c>
      <c r="F49" s="11">
        <f>C49/100*0.1/0.145</f>
        <v>0.1</v>
      </c>
      <c r="G49" s="11">
        <f>C49/100*10.2/0.145</f>
        <v>10.199999999999999</v>
      </c>
      <c r="H49" s="11">
        <f t="shared" si="1"/>
        <v>0</v>
      </c>
      <c r="I49" s="70"/>
      <c r="J49" s="70"/>
      <c r="K49" s="70"/>
      <c r="L49" s="11">
        <f>C49/100*0.0355896/0.145</f>
        <v>3.5589599999999999E-2</v>
      </c>
      <c r="M49" s="19" t="s">
        <v>751</v>
      </c>
    </row>
    <row r="50" spans="2:13">
      <c r="B50" s="104" t="s">
        <v>39</v>
      </c>
      <c r="C50" s="4">
        <v>14.5</v>
      </c>
      <c r="D50" s="5">
        <f>C50/100*46/0.145</f>
        <v>46</v>
      </c>
      <c r="E50" s="11">
        <f>C50/100*0.9/0.145</f>
        <v>0.90000000000000013</v>
      </c>
      <c r="F50" s="11">
        <f>C50/100*0/0.145</f>
        <v>0</v>
      </c>
      <c r="G50" s="11">
        <f>C50/100*10.5/0.145</f>
        <v>10.5</v>
      </c>
      <c r="H50" s="11">
        <f t="shared" si="1"/>
        <v>0</v>
      </c>
      <c r="I50" s="70"/>
      <c r="J50" s="70"/>
      <c r="K50" s="70"/>
      <c r="L50" s="11">
        <f>C50/100*0.0152527/0.145</f>
        <v>1.5252699999999998E-2</v>
      </c>
      <c r="M50" s="19" t="s">
        <v>751</v>
      </c>
    </row>
    <row r="51" spans="2:13">
      <c r="B51" s="104" t="s">
        <v>40</v>
      </c>
      <c r="C51" s="4">
        <v>14.5</v>
      </c>
      <c r="D51" s="5">
        <f>C51/100*46/0.145</f>
        <v>46</v>
      </c>
      <c r="E51" s="11">
        <f>C51/100*0.8/0.145</f>
        <v>0.8</v>
      </c>
      <c r="F51" s="11">
        <f>C51/100*0.1/0.145</f>
        <v>0.1</v>
      </c>
      <c r="G51" s="11">
        <f>C51/100*10.4/0.145</f>
        <v>10.4</v>
      </c>
      <c r="H51" s="11">
        <f t="shared" si="1"/>
        <v>0</v>
      </c>
      <c r="I51" s="70"/>
      <c r="J51" s="70"/>
      <c r="K51" s="70"/>
      <c r="L51" s="11">
        <f>C51/100*0.0406739/0.145</f>
        <v>4.0673899999999999E-2</v>
      </c>
      <c r="M51" s="19" t="s">
        <v>751</v>
      </c>
    </row>
    <row r="52" spans="2:13">
      <c r="B52" s="104" t="s">
        <v>41</v>
      </c>
      <c r="C52" s="4">
        <v>100</v>
      </c>
      <c r="D52" s="5">
        <f>C52/100*217</f>
        <v>217</v>
      </c>
      <c r="E52" s="11">
        <f>C52/100*9.7</f>
        <v>9.6999999999999993</v>
      </c>
      <c r="F52" s="11">
        <f>C52/100*3</f>
        <v>3</v>
      </c>
      <c r="G52" s="11">
        <f>C52/100*37.9</f>
        <v>37.9</v>
      </c>
      <c r="H52" s="11">
        <f t="shared" si="1"/>
        <v>0</v>
      </c>
      <c r="I52" s="70">
        <f>C52/100*0.3</f>
        <v>0.3</v>
      </c>
      <c r="J52" s="70">
        <f>C52/100*5.3</f>
        <v>5.3</v>
      </c>
      <c r="K52" s="70">
        <f>C52/100*5.6</f>
        <v>5.6</v>
      </c>
      <c r="L52" s="70">
        <f>C52/100*6.1</f>
        <v>6.1</v>
      </c>
      <c r="M52" s="19" t="s">
        <v>750</v>
      </c>
    </row>
    <row r="53" spans="2:13">
      <c r="B53" s="104" t="s">
        <v>42</v>
      </c>
      <c r="C53" s="4">
        <v>100</v>
      </c>
      <c r="D53" s="5">
        <f>C53/100*241</f>
        <v>241</v>
      </c>
      <c r="E53" s="11">
        <f>C53/100*22.6</f>
        <v>22.6</v>
      </c>
      <c r="F53" s="11">
        <f>C53/100*15.1</f>
        <v>15.1</v>
      </c>
      <c r="G53" s="11">
        <f>C53/100*0.8</f>
        <v>0.8</v>
      </c>
      <c r="H53" s="11">
        <f>C53/100*170</f>
        <v>170</v>
      </c>
      <c r="I53" s="70"/>
      <c r="J53" s="70"/>
      <c r="K53" s="70"/>
      <c r="L53" s="11">
        <f>C53/100*0.2</f>
        <v>0.2</v>
      </c>
      <c r="M53" s="3">
        <v>3</v>
      </c>
    </row>
    <row r="54" spans="2:13">
      <c r="B54" s="104" t="s">
        <v>43</v>
      </c>
      <c r="C54" s="4">
        <v>100</v>
      </c>
      <c r="D54" s="5">
        <f>C54/100*73</f>
        <v>73</v>
      </c>
      <c r="E54" s="11">
        <f>C54/100*12.7</f>
        <v>12.7</v>
      </c>
      <c r="F54" s="11">
        <f>C54/100*0.3</f>
        <v>0.3</v>
      </c>
      <c r="G54" s="11">
        <f>C54/100*4</f>
        <v>4</v>
      </c>
      <c r="H54" s="11">
        <f>C54/100*97</f>
        <v>97</v>
      </c>
      <c r="I54" s="70"/>
      <c r="J54" s="70"/>
      <c r="K54" s="70"/>
      <c r="L54" s="11">
        <f>C54/100*0.8388999</f>
        <v>0.83889990000000003</v>
      </c>
      <c r="M54" s="3">
        <v>3</v>
      </c>
    </row>
    <row r="55" spans="2:13">
      <c r="B55" s="81" t="s">
        <v>44</v>
      </c>
      <c r="C55" s="4">
        <v>100</v>
      </c>
      <c r="D55" s="5">
        <f>C55/100*155</f>
        <v>155</v>
      </c>
      <c r="E55" s="11">
        <f>C55/100*9.8</f>
        <v>9.8000000000000007</v>
      </c>
      <c r="F55" s="11">
        <f>C55/100*0.6</f>
        <v>0.6</v>
      </c>
      <c r="G55" s="11">
        <f>C55/100*27.1</f>
        <v>27.1</v>
      </c>
      <c r="H55" s="11">
        <f t="shared" ref="H55:H62" si="2">C55/100*0</f>
        <v>0</v>
      </c>
      <c r="I55" s="70">
        <f>C55/100*0.3</f>
        <v>0.3</v>
      </c>
      <c r="J55" s="70">
        <f>C55/100*6.5</f>
        <v>6.5</v>
      </c>
      <c r="K55" s="70">
        <f>C55/100*6.8</f>
        <v>6.8</v>
      </c>
      <c r="L55" s="70">
        <f>C55/100*0.0076263</f>
        <v>7.6262999999999999E-3</v>
      </c>
      <c r="M55" s="19" t="s">
        <v>751</v>
      </c>
    </row>
    <row r="56" spans="2:13">
      <c r="B56" s="81" t="s">
        <v>45</v>
      </c>
      <c r="C56" s="4">
        <v>100</v>
      </c>
      <c r="D56" s="5">
        <f>C56/100*244</f>
        <v>244</v>
      </c>
      <c r="E56" s="11">
        <f>C56/100*5.6</f>
        <v>5.6</v>
      </c>
      <c r="F56" s="11">
        <f>C56/100*0.6</f>
        <v>0.6</v>
      </c>
      <c r="G56" s="11">
        <f>C56/100*54</f>
        <v>54</v>
      </c>
      <c r="H56" s="11">
        <f t="shared" si="2"/>
        <v>0</v>
      </c>
      <c r="I56" s="70">
        <f>C56/100*0.5</f>
        <v>0.5</v>
      </c>
      <c r="J56" s="70">
        <f>C56/100*5.2</f>
        <v>5.2</v>
      </c>
      <c r="K56" s="70">
        <f>C56/100*5.7</f>
        <v>5.7</v>
      </c>
      <c r="L56" s="70">
        <f>C56/100*0.1</f>
        <v>0.1</v>
      </c>
      <c r="M56" s="19" t="s">
        <v>751</v>
      </c>
    </row>
    <row r="57" spans="2:13">
      <c r="B57" s="81" t="s">
        <v>1193</v>
      </c>
      <c r="C57" s="4">
        <v>100</v>
      </c>
      <c r="D57" s="5">
        <f>C57/100*85</f>
        <v>85</v>
      </c>
      <c r="E57" s="11">
        <f>C57/100*1.71</f>
        <v>1.71</v>
      </c>
      <c r="F57" s="11">
        <f>C57/100*0.23</f>
        <v>0.23</v>
      </c>
      <c r="G57" s="11">
        <f>C57/100*19.3</f>
        <v>19.3</v>
      </c>
      <c r="H57" s="11">
        <f t="shared" si="2"/>
        <v>0</v>
      </c>
      <c r="I57" s="70"/>
      <c r="J57" s="70"/>
      <c r="K57" s="70">
        <f>C57/100*1.67</f>
        <v>1.67</v>
      </c>
      <c r="L57" s="11">
        <f>C57/100*0.01</f>
        <v>0.01</v>
      </c>
      <c r="M57" s="19" t="s">
        <v>751</v>
      </c>
    </row>
    <row r="58" spans="2:13">
      <c r="B58" s="81" t="s">
        <v>46</v>
      </c>
      <c r="C58" s="4">
        <v>100</v>
      </c>
      <c r="D58" s="5">
        <f>C58/100*36</f>
        <v>36</v>
      </c>
      <c r="E58" s="11">
        <f>C58/100*1</f>
        <v>1</v>
      </c>
      <c r="F58" s="11">
        <f>C58/100*0.3</f>
        <v>0.3</v>
      </c>
      <c r="G58" s="11">
        <f>C58/100*8.5</f>
        <v>8.5</v>
      </c>
      <c r="H58" s="11">
        <f t="shared" si="2"/>
        <v>0</v>
      </c>
      <c r="I58" s="70">
        <f>C58/100*0.6</f>
        <v>0.6</v>
      </c>
      <c r="J58" s="70">
        <f>C58/100*1</f>
        <v>1</v>
      </c>
      <c r="K58" s="70">
        <f>C58/100*1.6</f>
        <v>1.6</v>
      </c>
      <c r="L58" s="70">
        <f>C58/100*0</f>
        <v>0</v>
      </c>
      <c r="M58" s="3">
        <v>2</v>
      </c>
    </row>
    <row r="59" spans="2:13">
      <c r="B59" s="104" t="s">
        <v>47</v>
      </c>
      <c r="C59" s="4">
        <v>100</v>
      </c>
      <c r="D59" s="5">
        <f>C59/100*347</f>
        <v>347</v>
      </c>
      <c r="E59" s="11">
        <f>C59/100*3.9</f>
        <v>3.9</v>
      </c>
      <c r="F59" s="11">
        <f>C59/100*7.22</f>
        <v>7.22</v>
      </c>
      <c r="G59" s="11">
        <f>C59/100*66.97</f>
        <v>66.97</v>
      </c>
      <c r="H59" s="11">
        <f t="shared" si="2"/>
        <v>0</v>
      </c>
      <c r="I59" s="70"/>
      <c r="J59" s="70"/>
      <c r="K59" s="70">
        <f>C59/100*2.06</f>
        <v>2.06</v>
      </c>
      <c r="L59" s="11">
        <f>C59/100*0.4242799</f>
        <v>0.42427989999999999</v>
      </c>
      <c r="M59" s="19" t="s">
        <v>751</v>
      </c>
    </row>
    <row r="60" spans="2:13">
      <c r="B60" s="81" t="s">
        <v>48</v>
      </c>
      <c r="C60" s="4">
        <v>100</v>
      </c>
      <c r="D60" s="5">
        <f>C60/100*280</f>
        <v>280</v>
      </c>
      <c r="E60" s="11">
        <f>C60/100*7.9</f>
        <v>7.9</v>
      </c>
      <c r="F60" s="11">
        <f>C60/100*5.3</f>
        <v>5.3</v>
      </c>
      <c r="G60" s="11">
        <f>C60/100*50.2</f>
        <v>50.2</v>
      </c>
      <c r="H60" s="11">
        <f t="shared" si="2"/>
        <v>0</v>
      </c>
      <c r="I60" s="70">
        <f>C60/100*0.7</f>
        <v>0.7</v>
      </c>
      <c r="J60" s="70">
        <f>C60/100*2</f>
        <v>2</v>
      </c>
      <c r="K60" s="70">
        <f>C60/100*2.7</f>
        <v>2.7</v>
      </c>
      <c r="L60" s="70">
        <f>C60/100*0.7</f>
        <v>0.7</v>
      </c>
      <c r="M60" s="19" t="s">
        <v>751</v>
      </c>
    </row>
    <row r="61" spans="2:13">
      <c r="B61" s="104" t="s">
        <v>49</v>
      </c>
      <c r="C61" s="4">
        <v>78</v>
      </c>
      <c r="D61" s="5">
        <f>C61/100*125/0.78</f>
        <v>125</v>
      </c>
      <c r="E61" s="11">
        <f>C61/100*9/0.78</f>
        <v>9</v>
      </c>
      <c r="F61" s="11">
        <f>C61/100*2/0.78</f>
        <v>2</v>
      </c>
      <c r="G61" s="11">
        <f>C61/100*14/0.78</f>
        <v>14</v>
      </c>
      <c r="H61" s="11">
        <f t="shared" si="2"/>
        <v>0</v>
      </c>
      <c r="I61" s="70"/>
      <c r="J61" s="70"/>
      <c r="K61" s="70"/>
      <c r="L61" s="70"/>
      <c r="M61" s="19" t="s">
        <v>751</v>
      </c>
    </row>
    <row r="62" spans="2:13">
      <c r="B62" s="104" t="s">
        <v>50</v>
      </c>
      <c r="C62" s="4">
        <v>80.7</v>
      </c>
      <c r="D62" s="5">
        <f>C62/100*218/0.807</f>
        <v>218</v>
      </c>
      <c r="E62" s="11">
        <f>C62/100*6.42/0.807</f>
        <v>6.42</v>
      </c>
      <c r="F62" s="11">
        <f>C62/100*3.09/0.807</f>
        <v>3.09</v>
      </c>
      <c r="G62" s="11">
        <f>C62/100*40.63/0.807</f>
        <v>40.630000000000003</v>
      </c>
      <c r="H62" s="11">
        <f t="shared" si="2"/>
        <v>0</v>
      </c>
      <c r="I62" s="70"/>
      <c r="J62" s="70"/>
      <c r="K62" s="70">
        <f>C62/100*2.57/0.807</f>
        <v>2.5700000000000003</v>
      </c>
      <c r="L62" s="70">
        <f>C62/100*0.37/0.807</f>
        <v>0.37</v>
      </c>
      <c r="M62" s="19" t="s">
        <v>751</v>
      </c>
    </row>
    <row r="63" spans="2:13">
      <c r="B63" s="81" t="s">
        <v>51</v>
      </c>
      <c r="C63" s="4">
        <v>100</v>
      </c>
      <c r="D63" s="5">
        <f>C63/100*89</f>
        <v>89</v>
      </c>
      <c r="E63" s="11">
        <f>C63/100*17.9</f>
        <v>17.899999999999999</v>
      </c>
      <c r="F63" s="11">
        <f>C63/100*1.4</f>
        <v>1.4</v>
      </c>
      <c r="G63" s="11">
        <f>C63/100*0</f>
        <v>0</v>
      </c>
      <c r="H63" s="11">
        <f>C63/100*280</f>
        <v>280</v>
      </c>
      <c r="I63" s="70"/>
      <c r="J63" s="70"/>
      <c r="K63" s="70"/>
      <c r="L63" s="70">
        <f>C63/100*0.5</f>
        <v>0.5</v>
      </c>
      <c r="M63" s="3">
        <v>3</v>
      </c>
    </row>
    <row r="64" spans="2:13">
      <c r="B64" s="81" t="s">
        <v>52</v>
      </c>
      <c r="C64" s="4">
        <v>100</v>
      </c>
      <c r="D64" s="5">
        <f>C64/100*88</f>
        <v>88</v>
      </c>
      <c r="E64" s="11">
        <f>C64/100*18.1</f>
        <v>18.100000000000001</v>
      </c>
      <c r="F64" s="11">
        <f>C64/100*1.2</f>
        <v>1.2</v>
      </c>
      <c r="G64" s="11">
        <f>C64/100*0.2</f>
        <v>0.2</v>
      </c>
      <c r="H64" s="11">
        <f>C64/100*270</f>
        <v>270</v>
      </c>
      <c r="I64" s="70"/>
      <c r="J64" s="70"/>
      <c r="K64" s="70"/>
      <c r="L64" s="70">
        <f>C64/100*0.8</f>
        <v>0.8</v>
      </c>
      <c r="M64" s="3">
        <v>3</v>
      </c>
    </row>
    <row r="65" spans="2:13">
      <c r="B65" s="81" t="s">
        <v>53</v>
      </c>
      <c r="C65" s="4">
        <v>100</v>
      </c>
      <c r="D65" s="5">
        <f>C65/100*103</f>
        <v>103</v>
      </c>
      <c r="E65" s="11">
        <f>C65/100*21.2</f>
        <v>21.2</v>
      </c>
      <c r="F65" s="11">
        <f>C65/100*1.3</f>
        <v>1.3</v>
      </c>
      <c r="G65" s="11">
        <f>C65/100*0.3</f>
        <v>0.3</v>
      </c>
      <c r="H65" s="11">
        <f>C65/100*320</f>
        <v>320</v>
      </c>
      <c r="I65" s="70"/>
      <c r="J65" s="70"/>
      <c r="K65" s="70"/>
      <c r="L65" s="70">
        <f>C65/100*0.8</f>
        <v>0.8</v>
      </c>
      <c r="M65" s="3">
        <v>3</v>
      </c>
    </row>
    <row r="66" spans="2:13">
      <c r="B66" s="81" t="s">
        <v>878</v>
      </c>
      <c r="C66" s="4">
        <v>100</v>
      </c>
      <c r="D66" s="5">
        <f>C66/100*117</f>
        <v>117</v>
      </c>
      <c r="E66" s="11">
        <f>C66/100*24.1</f>
        <v>24.1</v>
      </c>
      <c r="F66" s="11">
        <f>C66/100*1.5</f>
        <v>1.5</v>
      </c>
      <c r="G66" s="11">
        <f>C66/100*0.3</f>
        <v>0.3</v>
      </c>
      <c r="H66" s="11">
        <f>C66/100*380</f>
        <v>380</v>
      </c>
      <c r="I66" s="70"/>
      <c r="J66" s="70"/>
      <c r="K66" s="70"/>
      <c r="L66" s="70">
        <f>C66/100*1.2</f>
        <v>1.2</v>
      </c>
      <c r="M66" s="3">
        <v>3</v>
      </c>
    </row>
    <row r="67" spans="2:13">
      <c r="B67" s="104" t="s">
        <v>864</v>
      </c>
      <c r="C67" s="4">
        <v>65</v>
      </c>
      <c r="D67" s="5">
        <f>C67/100*156/0.65</f>
        <v>156</v>
      </c>
      <c r="E67" s="11">
        <f>C67/100*24.4/0.65</f>
        <v>24.4</v>
      </c>
      <c r="F67" s="11">
        <f>C67/100*1/0.65</f>
        <v>1</v>
      </c>
      <c r="G67" s="11">
        <f>C67/100*12.4/0.65</f>
        <v>12.4</v>
      </c>
      <c r="H67" s="11">
        <f>C67/100*225/0.65</f>
        <v>225</v>
      </c>
      <c r="I67" s="70"/>
      <c r="J67" s="70"/>
      <c r="K67" s="70"/>
      <c r="L67" s="11">
        <f>C67/100*2.1709713/0.65</f>
        <v>2.1709713000000002</v>
      </c>
      <c r="M67" s="3">
        <v>3</v>
      </c>
    </row>
    <row r="68" spans="2:13">
      <c r="B68" s="104" t="s">
        <v>54</v>
      </c>
      <c r="C68" s="4">
        <v>100</v>
      </c>
      <c r="D68" s="5">
        <f>C68/100*241</f>
        <v>241</v>
      </c>
      <c r="E68" s="11">
        <f>C68/100*30.5</f>
        <v>30.5</v>
      </c>
      <c r="F68" s="11">
        <f>C68/100*1.3</f>
        <v>1.3</v>
      </c>
      <c r="G68" s="11">
        <f>C68/100*26.7</f>
        <v>26.7</v>
      </c>
      <c r="H68" s="11">
        <f>C68/100*293</f>
        <v>293</v>
      </c>
      <c r="I68" s="70"/>
      <c r="J68" s="70"/>
      <c r="K68" s="70"/>
      <c r="L68" s="11">
        <f>C68/100*3.8131815</f>
        <v>3.8131814999999998</v>
      </c>
      <c r="M68" s="3">
        <v>3</v>
      </c>
    </row>
    <row r="69" spans="2:13">
      <c r="B69" s="104" t="s">
        <v>55</v>
      </c>
      <c r="C69" s="4">
        <v>100</v>
      </c>
      <c r="D69" s="5">
        <f>C69/100*241</f>
        <v>241</v>
      </c>
      <c r="E69" s="11">
        <f>C69/100*30.5</f>
        <v>30.5</v>
      </c>
      <c r="F69" s="11">
        <f>C69/100*1.3</f>
        <v>1.3</v>
      </c>
      <c r="G69" s="11">
        <f>C69/100*26.7</f>
        <v>26.7</v>
      </c>
      <c r="H69" s="11">
        <f>C69/100*280</f>
        <v>280</v>
      </c>
      <c r="I69" s="70"/>
      <c r="J69" s="70"/>
      <c r="K69" s="70"/>
      <c r="L69" s="11">
        <f>C69/100*3.8131815</f>
        <v>3.8131814999999998</v>
      </c>
      <c r="M69" s="3">
        <v>3</v>
      </c>
    </row>
    <row r="70" spans="2:13">
      <c r="B70" s="104" t="s">
        <v>56</v>
      </c>
      <c r="C70" s="4">
        <v>100</v>
      </c>
      <c r="D70" s="5">
        <f>C70/100*241</f>
        <v>241</v>
      </c>
      <c r="E70" s="11">
        <f>C70/100*30.5</f>
        <v>30.5</v>
      </c>
      <c r="F70" s="11">
        <f>C70/100*1.3</f>
        <v>1.3</v>
      </c>
      <c r="G70" s="11">
        <f>C70/100*26.7</f>
        <v>26.7</v>
      </c>
      <c r="H70" s="11">
        <f>C70/100*280</f>
        <v>280</v>
      </c>
      <c r="I70" s="70"/>
      <c r="J70" s="70"/>
      <c r="K70" s="70"/>
      <c r="L70" s="11">
        <f>C70/100*3.8131815</f>
        <v>3.8131814999999998</v>
      </c>
      <c r="M70" s="3">
        <v>3</v>
      </c>
    </row>
    <row r="71" spans="2:13">
      <c r="B71" s="81" t="s">
        <v>1097</v>
      </c>
      <c r="C71" s="4">
        <v>19</v>
      </c>
      <c r="D71" s="5">
        <f>C71/100*66/0.19</f>
        <v>66</v>
      </c>
      <c r="E71" s="11">
        <f>C71/100*9.5/0.19</f>
        <v>9.5</v>
      </c>
      <c r="F71" s="11">
        <f>C71/100*1.2/0.19</f>
        <v>1.2</v>
      </c>
      <c r="G71" s="11">
        <f>C71/100*4.3/0.19</f>
        <v>4.3</v>
      </c>
      <c r="H71" s="11">
        <f>C71/100*270/0.19</f>
        <v>270</v>
      </c>
      <c r="I71" s="70"/>
      <c r="J71" s="70"/>
      <c r="K71" s="70"/>
      <c r="L71" s="11">
        <f>C71/100*0.7600941/0.19</f>
        <v>0.76009409999999999</v>
      </c>
      <c r="M71" s="19" t="s">
        <v>751</v>
      </c>
    </row>
    <row r="72" spans="2:13">
      <c r="B72" s="104" t="s">
        <v>57</v>
      </c>
      <c r="C72" s="4">
        <v>100</v>
      </c>
      <c r="D72" s="5">
        <f>C72/100*272</f>
        <v>272</v>
      </c>
      <c r="E72" s="11">
        <f>C72/100*32.6</f>
        <v>32.6</v>
      </c>
      <c r="F72" s="11">
        <f>C72/100*15.6</f>
        <v>15.6</v>
      </c>
      <c r="G72" s="11">
        <f>C72/100*0.2</f>
        <v>0.2</v>
      </c>
      <c r="H72" s="11">
        <f>C72/100*480</f>
        <v>480</v>
      </c>
      <c r="I72" s="70"/>
      <c r="J72" s="70"/>
      <c r="K72" s="70"/>
      <c r="L72" s="70">
        <f>C72/100*2.3</f>
        <v>2.2999999999999998</v>
      </c>
      <c r="M72" s="3">
        <v>3</v>
      </c>
    </row>
    <row r="73" spans="2:13">
      <c r="B73" s="81" t="s">
        <v>58</v>
      </c>
      <c r="C73" s="4">
        <v>100</v>
      </c>
      <c r="D73" s="5">
        <f>C73/100*153</f>
        <v>153</v>
      </c>
      <c r="E73" s="11">
        <f>C73/100*12.2</f>
        <v>12.2</v>
      </c>
      <c r="F73" s="11">
        <f>C73/100*3.3</f>
        <v>3.3</v>
      </c>
      <c r="G73" s="11">
        <f>C73/100*18.9</f>
        <v>18.899999999999999</v>
      </c>
      <c r="H73" s="11">
        <f>C73/100*56</f>
        <v>56</v>
      </c>
      <c r="I73" s="70"/>
      <c r="J73" s="70"/>
      <c r="K73" s="70">
        <f>C73/100*0.2</f>
        <v>0.2</v>
      </c>
      <c r="L73" s="11">
        <f>C73/100*2.3641725</f>
        <v>2.3641725</v>
      </c>
      <c r="M73" s="19" t="s">
        <v>751</v>
      </c>
    </row>
    <row r="74" spans="2:13">
      <c r="B74" s="81" t="s">
        <v>59</v>
      </c>
      <c r="C74" s="4">
        <v>100</v>
      </c>
      <c r="D74" s="5">
        <f>C74/100*136.26</f>
        <v>136.26</v>
      </c>
      <c r="E74" s="11">
        <f>C74/100*11.78</f>
        <v>11.78</v>
      </c>
      <c r="F74" s="11">
        <f>C74/100*2.9</f>
        <v>2.9</v>
      </c>
      <c r="G74" s="11">
        <f>C74/100*14.25</f>
        <v>14.25</v>
      </c>
      <c r="H74" s="11">
        <f>C74/100*56</f>
        <v>56</v>
      </c>
      <c r="I74" s="70">
        <f>C74/100*0</f>
        <v>0</v>
      </c>
      <c r="J74" s="70">
        <f>C74/100*0.09</f>
        <v>0.09</v>
      </c>
      <c r="K74" s="70">
        <f>C74/100*0.14</f>
        <v>0.14000000000000001</v>
      </c>
      <c r="L74" s="11">
        <f>C74/100*0.51</f>
        <v>0.51</v>
      </c>
      <c r="M74" s="19" t="s">
        <v>751</v>
      </c>
    </row>
    <row r="75" spans="2:13">
      <c r="B75" s="81" t="s">
        <v>60</v>
      </c>
      <c r="C75" s="4">
        <v>100</v>
      </c>
      <c r="D75" s="5">
        <f>C75/100*34</f>
        <v>34</v>
      </c>
      <c r="E75" s="11">
        <f>C75/100*0.9</f>
        <v>0.9</v>
      </c>
      <c r="F75" s="11">
        <f>C75/100*0.1</f>
        <v>0.1</v>
      </c>
      <c r="G75" s="11">
        <f>C75/100*8.5</f>
        <v>8.5</v>
      </c>
      <c r="H75" s="11">
        <f t="shared" ref="H75:H87" si="3">C75/100*0</f>
        <v>0</v>
      </c>
      <c r="I75" s="70">
        <f>C75/100*0.5</f>
        <v>0.5</v>
      </c>
      <c r="J75" s="70">
        <f>C75/100*0.9</f>
        <v>0.9</v>
      </c>
      <c r="K75" s="70">
        <f>C75/100*1.4</f>
        <v>1.4</v>
      </c>
      <c r="L75" s="70">
        <f>C75/100*0</f>
        <v>0</v>
      </c>
      <c r="M75" s="3">
        <v>2</v>
      </c>
    </row>
    <row r="76" spans="2:13">
      <c r="B76" s="103" t="s">
        <v>61</v>
      </c>
      <c r="C76" s="4">
        <v>100</v>
      </c>
      <c r="D76" s="5">
        <f>C76/100*256</f>
        <v>256</v>
      </c>
      <c r="E76" s="11">
        <f>C76/100*0.4</f>
        <v>0.4</v>
      </c>
      <c r="F76" s="11">
        <f>C76/100*0.1</f>
        <v>0.1</v>
      </c>
      <c r="G76" s="11">
        <f>C76/100*63.3</f>
        <v>63.3</v>
      </c>
      <c r="H76" s="11">
        <f t="shared" si="3"/>
        <v>0</v>
      </c>
      <c r="I76" s="70">
        <f>C76/100*0.7</f>
        <v>0.7</v>
      </c>
      <c r="J76" s="70">
        <f>C76/100*0.6</f>
        <v>0.6</v>
      </c>
      <c r="K76" s="70">
        <f>C76/100*1.3</f>
        <v>1.3</v>
      </c>
      <c r="L76" s="70">
        <f>C76/100*0</f>
        <v>0</v>
      </c>
      <c r="M76" s="19" t="s">
        <v>751</v>
      </c>
    </row>
    <row r="77" spans="2:13">
      <c r="B77" s="104" t="s">
        <v>62</v>
      </c>
      <c r="C77" s="4">
        <v>67</v>
      </c>
      <c r="D77" s="5">
        <f>C77/100*278/0.67</f>
        <v>278</v>
      </c>
      <c r="E77" s="11">
        <f>C77/100*3.4/0.67</f>
        <v>3.4</v>
      </c>
      <c r="F77" s="11">
        <f>C77/100*7.1/0.67</f>
        <v>7.0999999999999988</v>
      </c>
      <c r="G77" s="11">
        <f>C77/100*51.4/0.67</f>
        <v>51.4</v>
      </c>
      <c r="H77" s="11">
        <f t="shared" si="3"/>
        <v>0</v>
      </c>
      <c r="I77" s="70"/>
      <c r="J77" s="70"/>
      <c r="K77" s="70"/>
      <c r="L77" s="70"/>
      <c r="M77" s="19" t="s">
        <v>751</v>
      </c>
    </row>
    <row r="78" spans="2:13">
      <c r="B78" s="81" t="s">
        <v>63</v>
      </c>
      <c r="C78" s="4">
        <v>2</v>
      </c>
      <c r="D78" s="5">
        <f>C78/100*0.2/0.02</f>
        <v>0.2</v>
      </c>
      <c r="E78" s="11">
        <f>C78/100*0.02/0.02</f>
        <v>0.02</v>
      </c>
      <c r="F78" s="11">
        <f>C78/100*0/0.02</f>
        <v>0</v>
      </c>
      <c r="G78" s="11">
        <f>C78/100*1.53/0.02</f>
        <v>1.53</v>
      </c>
      <c r="H78" s="11">
        <f t="shared" si="3"/>
        <v>0</v>
      </c>
      <c r="I78" s="70"/>
      <c r="J78" s="70"/>
      <c r="K78" s="70">
        <f>C78/100*1.5/0.02</f>
        <v>1.5</v>
      </c>
      <c r="L78" s="70">
        <f>C78/100*0.0033/0.02</f>
        <v>3.3E-3</v>
      </c>
      <c r="M78" s="3">
        <v>6</v>
      </c>
    </row>
    <row r="79" spans="2:13">
      <c r="B79" s="104" t="s">
        <v>64</v>
      </c>
      <c r="C79" s="4">
        <v>72.7</v>
      </c>
      <c r="D79" s="5">
        <f>C79/100*118/0.727</f>
        <v>118</v>
      </c>
      <c r="E79" s="11">
        <f>C79/100*3.32/0.727</f>
        <v>3.3200000000000003</v>
      </c>
      <c r="F79" s="11">
        <f>C79/100*4.18/0.727</f>
        <v>4.18</v>
      </c>
      <c r="G79" s="11">
        <f>C79/100*16.06/0.727</f>
        <v>16.059999999999999</v>
      </c>
      <c r="H79" s="11">
        <f t="shared" si="3"/>
        <v>0</v>
      </c>
      <c r="I79" s="70"/>
      <c r="J79" s="70"/>
      <c r="K79" s="70">
        <f>C79/100*0.34/0.727</f>
        <v>0.34</v>
      </c>
      <c r="L79" s="70">
        <f>C79/100*1/0.727</f>
        <v>1</v>
      </c>
      <c r="M79" s="19" t="s">
        <v>754</v>
      </c>
    </row>
    <row r="80" spans="2:13">
      <c r="B80" s="104" t="s">
        <v>65</v>
      </c>
      <c r="C80" s="4">
        <v>181.1</v>
      </c>
      <c r="D80" s="5">
        <f>C80/100*313/1.811</f>
        <v>313</v>
      </c>
      <c r="E80" s="11">
        <f>C80/100*10.9/1.811</f>
        <v>10.9</v>
      </c>
      <c r="F80" s="11">
        <f>C80/100*9.3/1.811</f>
        <v>9.3000000000000007</v>
      </c>
      <c r="G80" s="11">
        <f>C80/100*46.4/1.811</f>
        <v>46.4</v>
      </c>
      <c r="H80" s="11">
        <f t="shared" si="3"/>
        <v>0</v>
      </c>
      <c r="I80" s="70"/>
      <c r="J80" s="70"/>
      <c r="K80" s="70"/>
      <c r="L80" s="70"/>
      <c r="M80" s="19" t="s">
        <v>754</v>
      </c>
    </row>
    <row r="81" spans="2:13">
      <c r="B81" s="104" t="s">
        <v>66</v>
      </c>
      <c r="C81" s="4">
        <v>100</v>
      </c>
      <c r="D81" s="5">
        <f>C81/100*200/0.9</f>
        <v>222.22222222222223</v>
      </c>
      <c r="E81" s="11">
        <f>C81/100*3.96/0.9</f>
        <v>4.3999999999999995</v>
      </c>
      <c r="F81" s="11">
        <f>C81/100*0.99/0.9</f>
        <v>1.0999999999999999</v>
      </c>
      <c r="G81" s="11">
        <f>C81/100*43.74/0.9</f>
        <v>48.6</v>
      </c>
      <c r="H81" s="11">
        <f t="shared" si="3"/>
        <v>0</v>
      </c>
      <c r="I81" s="70"/>
      <c r="J81" s="70"/>
      <c r="K81" s="70">
        <f>C81/100*1.62/0.9</f>
        <v>1.8</v>
      </c>
      <c r="L81" s="11">
        <f>C81/100*0.18/0.9</f>
        <v>0.19999999999999998</v>
      </c>
      <c r="M81" s="19" t="s">
        <v>751</v>
      </c>
    </row>
    <row r="82" spans="2:13">
      <c r="B82" s="104" t="s">
        <v>872</v>
      </c>
      <c r="C82" s="4">
        <v>100</v>
      </c>
      <c r="D82" s="5">
        <f>C82/100*222</f>
        <v>222</v>
      </c>
      <c r="E82" s="11">
        <f>C82/100*4.4</f>
        <v>4.4000000000000004</v>
      </c>
      <c r="F82" s="11">
        <f>C82/100*1.1</f>
        <v>1.1000000000000001</v>
      </c>
      <c r="G82" s="11">
        <f>C82/100*48.6</f>
        <v>48.6</v>
      </c>
      <c r="H82" s="11">
        <f t="shared" si="3"/>
        <v>0</v>
      </c>
      <c r="I82" s="70">
        <f>C82/100*0.3</f>
        <v>0.3</v>
      </c>
      <c r="J82" s="70">
        <f>C82/100*1.5</f>
        <v>1.5</v>
      </c>
      <c r="K82" s="70">
        <f>C82/100*1.8</f>
        <v>1.8</v>
      </c>
      <c r="L82" s="11">
        <f>C82/100*0.1499851</f>
        <v>0.14998510000000001</v>
      </c>
      <c r="M82" s="19" t="s">
        <v>751</v>
      </c>
    </row>
    <row r="83" spans="2:13">
      <c r="B83" s="104" t="s">
        <v>67</v>
      </c>
      <c r="C83" s="4">
        <v>100</v>
      </c>
      <c r="D83" s="5">
        <f>C83/100*76</f>
        <v>76</v>
      </c>
      <c r="E83" s="11">
        <f>C83/100*1.6</f>
        <v>1.6</v>
      </c>
      <c r="F83" s="11">
        <f>C83/100*0.1</f>
        <v>0.1</v>
      </c>
      <c r="G83" s="11">
        <f>C83/100*17.6</f>
        <v>17.600000000000001</v>
      </c>
      <c r="H83" s="11">
        <f t="shared" si="3"/>
        <v>0</v>
      </c>
      <c r="I83" s="70">
        <f>C83/100*0.6</f>
        <v>0.6</v>
      </c>
      <c r="J83" s="70">
        <f>C83/100*0.7</f>
        <v>0.7</v>
      </c>
      <c r="K83" s="70">
        <f>C83/100*1.3</f>
        <v>1.3</v>
      </c>
      <c r="L83" s="70">
        <f>C83/100*0</f>
        <v>0</v>
      </c>
      <c r="M83" s="3">
        <v>1</v>
      </c>
    </row>
    <row r="84" spans="2:13">
      <c r="B84" s="103" t="s">
        <v>68</v>
      </c>
      <c r="C84" s="4">
        <v>100</v>
      </c>
      <c r="D84" s="5">
        <f>C84/100*73</f>
        <v>73</v>
      </c>
      <c r="E84" s="11">
        <f>C84/100*1.5</f>
        <v>1.5</v>
      </c>
      <c r="F84" s="11">
        <f>C84/100*0.1</f>
        <v>0.1</v>
      </c>
      <c r="G84" s="11">
        <f>C84/100*16.8</f>
        <v>16.8</v>
      </c>
      <c r="H84" s="11">
        <f t="shared" si="3"/>
        <v>0</v>
      </c>
      <c r="I84" s="70">
        <f>C84/100*0.5</f>
        <v>0.5</v>
      </c>
      <c r="J84" s="70">
        <f>C84/100*1.1</f>
        <v>1.1000000000000001</v>
      </c>
      <c r="K84" s="70">
        <f>C84/100*1.6</f>
        <v>1.6</v>
      </c>
      <c r="L84" s="70">
        <f>C84/100*0</f>
        <v>0</v>
      </c>
      <c r="M84" s="3">
        <v>1</v>
      </c>
    </row>
    <row r="85" spans="2:13">
      <c r="B85" s="104" t="s">
        <v>69</v>
      </c>
      <c r="C85" s="4">
        <v>100</v>
      </c>
      <c r="D85" s="5">
        <f>C85/100*498</f>
        <v>498</v>
      </c>
      <c r="E85" s="11">
        <f>C85/100*2.1</f>
        <v>2.1</v>
      </c>
      <c r="F85" s="11">
        <f>C85/100*23.9</f>
        <v>23.9</v>
      </c>
      <c r="G85" s="11">
        <f>C85/100*65.3</f>
        <v>65.3</v>
      </c>
      <c r="H85" s="11">
        <f t="shared" si="3"/>
        <v>0</v>
      </c>
      <c r="I85" s="70"/>
      <c r="J85" s="70"/>
      <c r="K85" s="70">
        <f>C85/100*3.4</f>
        <v>3.4</v>
      </c>
      <c r="L85" s="11">
        <f>C85/100*0.0419449</f>
        <v>4.19449E-2</v>
      </c>
      <c r="M85" s="19" t="s">
        <v>751</v>
      </c>
    </row>
    <row r="86" spans="2:13">
      <c r="B86" s="104" t="s">
        <v>70</v>
      </c>
      <c r="C86" s="4">
        <v>70</v>
      </c>
      <c r="D86" s="5">
        <f>C86/100*115/0.7</f>
        <v>115.00000000000001</v>
      </c>
      <c r="E86" s="11">
        <f>C86/100*0.8/0.7</f>
        <v>0.79999999999999993</v>
      </c>
      <c r="F86" s="11">
        <f>C86/100*0.2/0.7</f>
        <v>0.19999999999999998</v>
      </c>
      <c r="G86" s="11">
        <f>C86/100*28.1/0.7</f>
        <v>28.099999999999998</v>
      </c>
      <c r="H86" s="11">
        <f t="shared" si="3"/>
        <v>0</v>
      </c>
      <c r="I86" s="70"/>
      <c r="J86" s="70"/>
      <c r="K86" s="70">
        <f>C86/100*1.2/0.7</f>
        <v>1.2</v>
      </c>
      <c r="L86" s="11">
        <f>C86/100*0.0686372/0.7</f>
        <v>6.8637199999999995E-2</v>
      </c>
      <c r="M86" s="19" t="s">
        <v>751</v>
      </c>
    </row>
    <row r="87" spans="2:13">
      <c r="B87" s="104" t="s">
        <v>1062</v>
      </c>
      <c r="C87" s="4">
        <v>100</v>
      </c>
      <c r="D87" s="5">
        <f>C87/100*46</f>
        <v>46</v>
      </c>
      <c r="E87" s="11">
        <f>C87/100*0.9</f>
        <v>0.9</v>
      </c>
      <c r="F87" s="11">
        <f>C87/100*0.1</f>
        <v>0.1</v>
      </c>
      <c r="G87" s="11">
        <f>C87/100*11.8</f>
        <v>11.8</v>
      </c>
      <c r="H87" s="11">
        <f t="shared" si="3"/>
        <v>0</v>
      </c>
      <c r="I87" s="70">
        <f>C87/100*0.5</f>
        <v>0.5</v>
      </c>
      <c r="J87" s="70">
        <f>C87/100*0.6</f>
        <v>0.6</v>
      </c>
      <c r="K87" s="70">
        <f>C87/100*1.1</f>
        <v>1.1000000000000001</v>
      </c>
      <c r="L87" s="11">
        <f>C87/100*0</f>
        <v>0</v>
      </c>
      <c r="M87" s="3">
        <v>2</v>
      </c>
    </row>
    <row r="88" spans="2:13">
      <c r="B88" s="104" t="s">
        <v>71</v>
      </c>
      <c r="C88" s="4">
        <v>100</v>
      </c>
      <c r="D88" s="5">
        <f>C88/100*244</f>
        <v>244</v>
      </c>
      <c r="E88" s="11">
        <f>C88/100*25.8</f>
        <v>25.8</v>
      </c>
      <c r="F88" s="11">
        <f>C88/100*14</f>
        <v>14</v>
      </c>
      <c r="G88" s="11">
        <f>C88/100*0.9</f>
        <v>0.9</v>
      </c>
      <c r="H88" s="11">
        <f>C88/100*78</f>
        <v>78</v>
      </c>
      <c r="I88" s="70"/>
      <c r="J88" s="70"/>
      <c r="K88" s="70"/>
      <c r="L88" s="70">
        <f>C88/100*0.4</f>
        <v>0.4</v>
      </c>
      <c r="M88" s="3">
        <v>3</v>
      </c>
    </row>
    <row r="89" spans="2:13">
      <c r="B89" s="104" t="s">
        <v>72</v>
      </c>
      <c r="C89" s="4">
        <v>100</v>
      </c>
      <c r="D89" s="5">
        <f>C89/100*125</f>
        <v>125</v>
      </c>
      <c r="E89" s="11">
        <f>C89/100*17.1</f>
        <v>17.100000000000001</v>
      </c>
      <c r="F89" s="11">
        <f>C89/100*1.8</f>
        <v>1.8</v>
      </c>
      <c r="G89" s="11">
        <f>C89/100*10.2</f>
        <v>10.199999999999999</v>
      </c>
      <c r="H89" s="11">
        <f>C89/100*10</f>
        <v>10</v>
      </c>
      <c r="I89" s="70"/>
      <c r="J89" s="70"/>
      <c r="K89" s="70"/>
      <c r="L89" s="11">
        <f>C89/100*1.387998</f>
        <v>1.3879980000000001</v>
      </c>
      <c r="M89" s="3">
        <v>3</v>
      </c>
    </row>
    <row r="90" spans="2:13">
      <c r="B90" s="80" t="s">
        <v>73</v>
      </c>
      <c r="C90" s="4">
        <v>100</v>
      </c>
      <c r="D90" s="5">
        <f>C90/100*125</f>
        <v>125</v>
      </c>
      <c r="E90" s="11">
        <f>C90/100*17.1</f>
        <v>17.100000000000001</v>
      </c>
      <c r="F90" s="11">
        <f>C90/100*1.8</f>
        <v>1.8</v>
      </c>
      <c r="G90" s="11">
        <f>C90/100*10.2</f>
        <v>10.199999999999999</v>
      </c>
      <c r="H90" s="11">
        <f>C90/100*10</f>
        <v>10</v>
      </c>
      <c r="I90" s="70"/>
      <c r="J90" s="70"/>
      <c r="K90" s="70"/>
      <c r="L90" s="11">
        <f>C90/100*1.387998</f>
        <v>1.3879980000000001</v>
      </c>
      <c r="M90" s="3">
        <v>3</v>
      </c>
    </row>
    <row r="91" spans="2:13">
      <c r="B91" s="104" t="s">
        <v>74</v>
      </c>
      <c r="C91" s="4">
        <v>100</v>
      </c>
      <c r="D91" s="5">
        <f>C91/100*243</f>
        <v>243</v>
      </c>
      <c r="E91" s="11">
        <f>C91/100*19.7</f>
        <v>19.7</v>
      </c>
      <c r="F91" s="11">
        <f>C91/100*8</f>
        <v>8</v>
      </c>
      <c r="G91" s="11">
        <f>C91/100*23.4</f>
        <v>23.4</v>
      </c>
      <c r="H91" s="11">
        <f>C91/100*44</f>
        <v>44</v>
      </c>
      <c r="I91" s="70"/>
      <c r="J91" s="70"/>
      <c r="K91" s="70">
        <f>C91/100*0.8</f>
        <v>0.8</v>
      </c>
      <c r="L91" s="70">
        <f>C91/100*2.1</f>
        <v>2.1</v>
      </c>
      <c r="M91" s="3">
        <v>3</v>
      </c>
    </row>
    <row r="92" spans="2:13">
      <c r="B92" s="104" t="s">
        <v>75</v>
      </c>
      <c r="C92" s="4">
        <v>100</v>
      </c>
      <c r="D92" s="5">
        <f>C92/100*145</f>
        <v>145</v>
      </c>
      <c r="E92" s="11">
        <f>C92/100*17.9</f>
        <v>17.899999999999999</v>
      </c>
      <c r="F92" s="11">
        <f>C92/100*2.9</f>
        <v>2.9</v>
      </c>
      <c r="G92" s="11">
        <f>C92/100*11.7</f>
        <v>11.7</v>
      </c>
      <c r="H92" s="11">
        <f>C92/100*16</f>
        <v>16</v>
      </c>
      <c r="I92" s="70"/>
      <c r="J92" s="70"/>
      <c r="K92" s="70"/>
      <c r="L92" s="11">
        <f>C92/100*1.1541229</f>
        <v>1.1541229</v>
      </c>
      <c r="M92" s="3">
        <v>3</v>
      </c>
    </row>
    <row r="93" spans="2:13">
      <c r="B93" s="104" t="s">
        <v>76</v>
      </c>
      <c r="C93" s="4">
        <v>100</v>
      </c>
      <c r="D93" s="5">
        <f>C93/100*435</f>
        <v>435</v>
      </c>
      <c r="E93" s="11">
        <f>C93/100*10.8</f>
        <v>10.8</v>
      </c>
      <c r="F93" s="11">
        <f>C93/100*10.6</f>
        <v>10.6</v>
      </c>
      <c r="G93" s="11">
        <f>C93/100*74.1</f>
        <v>74.099999999999994</v>
      </c>
      <c r="H93" s="11">
        <f t="shared" ref="H93:H110" si="4">C93/100*0</f>
        <v>0</v>
      </c>
      <c r="I93" s="70"/>
      <c r="J93" s="70"/>
      <c r="K93" s="70"/>
      <c r="L93" s="11">
        <f>C93/100*0.3558969</f>
        <v>0.35589690000000002</v>
      </c>
      <c r="M93" s="19" t="s">
        <v>751</v>
      </c>
    </row>
    <row r="94" spans="2:13">
      <c r="B94" s="104" t="s">
        <v>1233</v>
      </c>
      <c r="C94" s="4">
        <v>100</v>
      </c>
      <c r="D94" s="5">
        <f>C94/100*435</f>
        <v>435</v>
      </c>
      <c r="E94" s="11">
        <f>C94/100*10.8</f>
        <v>10.8</v>
      </c>
      <c r="F94" s="11">
        <f>C94/100*10.6</f>
        <v>10.6</v>
      </c>
      <c r="G94" s="11">
        <f>C94/100*74.1</f>
        <v>74.099999999999994</v>
      </c>
      <c r="H94" s="11">
        <f t="shared" si="4"/>
        <v>0</v>
      </c>
      <c r="I94" s="70"/>
      <c r="J94" s="70"/>
      <c r="K94" s="70">
        <f>C94/100*2.38</f>
        <v>2.38</v>
      </c>
      <c r="L94" s="11">
        <f>C94/100*0.3558969</f>
        <v>0.35589690000000002</v>
      </c>
      <c r="M94" s="19" t="s">
        <v>751</v>
      </c>
    </row>
    <row r="95" spans="2:13">
      <c r="B95" s="104" t="s">
        <v>77</v>
      </c>
      <c r="C95" s="4">
        <v>100</v>
      </c>
      <c r="D95" s="5">
        <f>C95/100*240</f>
        <v>240</v>
      </c>
      <c r="E95" s="11">
        <f>C95/100*5.6</f>
        <v>5.6</v>
      </c>
      <c r="F95" s="11">
        <f>C95/100*0.7</f>
        <v>0.7</v>
      </c>
      <c r="G95" s="11">
        <f>C95/100*52.9</f>
        <v>52.9</v>
      </c>
      <c r="H95" s="11">
        <f t="shared" si="4"/>
        <v>0</v>
      </c>
      <c r="I95" s="70">
        <f>C95/100*0.7</f>
        <v>0.7</v>
      </c>
      <c r="J95" s="70">
        <f>C95/100*4.6</f>
        <v>4.5999999999999996</v>
      </c>
      <c r="K95" s="70">
        <f>C95/100*5.3</f>
        <v>5.3</v>
      </c>
      <c r="L95" s="11">
        <f>C95/100*0.3813181</f>
        <v>0.38131809999999999</v>
      </c>
      <c r="M95" s="19" t="s">
        <v>751</v>
      </c>
    </row>
    <row r="96" spans="2:13">
      <c r="B96" s="103" t="s">
        <v>78</v>
      </c>
      <c r="C96" s="4">
        <v>100</v>
      </c>
      <c r="D96" s="5">
        <f>C96/100*241</f>
        <v>241</v>
      </c>
      <c r="E96" s="11">
        <f>C96/100*3.6</f>
        <v>3.6</v>
      </c>
      <c r="F96" s="11">
        <f>C96/100*0.4</f>
        <v>0.4</v>
      </c>
      <c r="G96" s="11">
        <f>C96/100*55.7</f>
        <v>55.7</v>
      </c>
      <c r="H96" s="11">
        <f t="shared" si="4"/>
        <v>0</v>
      </c>
      <c r="I96" s="70">
        <f>C96/100*0.1</f>
        <v>0.1</v>
      </c>
      <c r="J96" s="70">
        <f>C96/100*1.9</f>
        <v>1.9</v>
      </c>
      <c r="K96" s="70">
        <f>C96/100*2</f>
        <v>2</v>
      </c>
      <c r="L96" s="70">
        <f>C96/100*0.1</f>
        <v>0.1</v>
      </c>
      <c r="M96" s="19" t="s">
        <v>751</v>
      </c>
    </row>
    <row r="97" spans="2:13">
      <c r="B97" s="104" t="s">
        <v>79</v>
      </c>
      <c r="C97" s="4">
        <v>100</v>
      </c>
      <c r="D97" s="5">
        <f>C97/100*176</f>
        <v>176</v>
      </c>
      <c r="E97" s="11">
        <f>C97/100*6.6</f>
        <v>6.6</v>
      </c>
      <c r="F97" s="11">
        <f>C97/100*0.6</f>
        <v>0.6</v>
      </c>
      <c r="G97" s="11">
        <f>C97/100*43</f>
        <v>43</v>
      </c>
      <c r="H97" s="11">
        <f t="shared" si="4"/>
        <v>0</v>
      </c>
      <c r="I97" s="70"/>
      <c r="J97" s="70"/>
      <c r="K97" s="70">
        <f>C97/100*6.6</f>
        <v>6.6</v>
      </c>
      <c r="L97" s="70">
        <f>C97/100*0.4041972</f>
        <v>0.40419719999999998</v>
      </c>
      <c r="M97" s="19" t="s">
        <v>751</v>
      </c>
    </row>
    <row r="98" spans="2:13">
      <c r="B98" s="104" t="s">
        <v>80</v>
      </c>
      <c r="C98" s="4">
        <v>100</v>
      </c>
      <c r="D98" s="5">
        <f>C98/100*18</f>
        <v>18</v>
      </c>
      <c r="E98" s="11">
        <f>C98/100*0.8</f>
        <v>0.8</v>
      </c>
      <c r="F98" s="11">
        <f>C98/100*0.1</f>
        <v>0.1</v>
      </c>
      <c r="G98" s="11">
        <f>C98/100*4.3</f>
        <v>4.3</v>
      </c>
      <c r="H98" s="11">
        <f t="shared" si="4"/>
        <v>0</v>
      </c>
      <c r="I98" s="70">
        <f>C98/100*0.3</f>
        <v>0.3</v>
      </c>
      <c r="J98" s="70">
        <f>C98/100*1.1</f>
        <v>1.1000000000000001</v>
      </c>
      <c r="K98" s="70">
        <f>C98/100*1.4</f>
        <v>1.4</v>
      </c>
      <c r="L98" s="70">
        <f>C98/100*0</f>
        <v>0</v>
      </c>
      <c r="M98" s="3">
        <v>6</v>
      </c>
    </row>
    <row r="99" spans="2:13">
      <c r="B99" s="104" t="s">
        <v>81</v>
      </c>
      <c r="C99" s="4">
        <v>100</v>
      </c>
      <c r="D99" s="5">
        <f>C99/100*14</f>
        <v>14</v>
      </c>
      <c r="E99" s="11">
        <f>C99/100*0.6</f>
        <v>0.6</v>
      </c>
      <c r="F99" s="11">
        <f>C99/100*0</f>
        <v>0</v>
      </c>
      <c r="G99" s="11">
        <f>C99/100*3.4</f>
        <v>3.4</v>
      </c>
      <c r="H99" s="11">
        <f t="shared" si="4"/>
        <v>0</v>
      </c>
      <c r="I99" s="70">
        <f>C99/100*0.3</f>
        <v>0.3</v>
      </c>
      <c r="J99" s="70">
        <f>C99/100*1.3</f>
        <v>1.3</v>
      </c>
      <c r="K99" s="70">
        <f>C99/100*1.6</f>
        <v>1.6</v>
      </c>
      <c r="L99" s="70">
        <f>C99/100*0</f>
        <v>0</v>
      </c>
      <c r="M99" s="3">
        <v>6</v>
      </c>
    </row>
    <row r="100" spans="2:13">
      <c r="B100" s="104" t="s">
        <v>82</v>
      </c>
      <c r="C100" s="4">
        <v>100</v>
      </c>
      <c r="D100" s="5">
        <f>C100/100*19</f>
        <v>19</v>
      </c>
      <c r="E100" s="11">
        <f>C100/100*1.1</f>
        <v>1.1000000000000001</v>
      </c>
      <c r="F100" s="11">
        <f>C100/100*0.1</f>
        <v>0.1</v>
      </c>
      <c r="G100" s="11">
        <f>C100/100*4.3</f>
        <v>4.3</v>
      </c>
      <c r="H100" s="11">
        <f t="shared" si="4"/>
        <v>0</v>
      </c>
      <c r="I100" s="70">
        <f>C100/100*0.3</f>
        <v>0.3</v>
      </c>
      <c r="J100" s="70">
        <f>C100/100*1.5</f>
        <v>1.5</v>
      </c>
      <c r="K100" s="70">
        <f>C100/100*1.8</f>
        <v>1.8</v>
      </c>
      <c r="L100" s="70">
        <f>C100/100*0</f>
        <v>0</v>
      </c>
      <c r="M100" s="3">
        <v>6</v>
      </c>
    </row>
    <row r="101" spans="2:13">
      <c r="B101" s="81" t="s">
        <v>1268</v>
      </c>
      <c r="C101" s="4">
        <v>100</v>
      </c>
      <c r="D101" s="5">
        <f>C101/100*339</f>
        <v>339</v>
      </c>
      <c r="E101" s="11">
        <f>C101/100*9.2</f>
        <v>9.1999999999999993</v>
      </c>
      <c r="F101" s="11">
        <f>C101/100*1.7</f>
        <v>1.7</v>
      </c>
      <c r="G101" s="11">
        <f>C101/100*71.7</f>
        <v>71.7</v>
      </c>
      <c r="H101" s="11">
        <f t="shared" si="4"/>
        <v>0</v>
      </c>
      <c r="I101" s="70"/>
      <c r="J101" s="70"/>
      <c r="K101" s="70">
        <f>C101/100*0</f>
        <v>0</v>
      </c>
      <c r="L101" s="11">
        <f>C101/100*0.2</f>
        <v>0.2</v>
      </c>
      <c r="M101" s="19">
        <v>1</v>
      </c>
    </row>
    <row r="102" spans="2:13">
      <c r="B102" s="104" t="s">
        <v>913</v>
      </c>
      <c r="C102" s="4">
        <v>180</v>
      </c>
      <c r="D102" s="5">
        <f>C102/100*204/1.8</f>
        <v>204</v>
      </c>
      <c r="E102" s="11">
        <f>C102/100*4.5/1.8</f>
        <v>4.5</v>
      </c>
      <c r="F102" s="11">
        <f>C102/100*0.7/1.8</f>
        <v>0.7</v>
      </c>
      <c r="G102" s="11">
        <f>C102/100*45/1.8</f>
        <v>45</v>
      </c>
      <c r="H102" s="11">
        <f t="shared" si="4"/>
        <v>0</v>
      </c>
      <c r="I102" s="70"/>
      <c r="J102" s="70"/>
      <c r="K102" s="70"/>
      <c r="L102" s="11">
        <f>C102/100*0.2186224/1.8</f>
        <v>0.21862239999999999</v>
      </c>
      <c r="M102" s="3">
        <v>1</v>
      </c>
    </row>
    <row r="103" spans="2:13">
      <c r="B103" s="104" t="s">
        <v>83</v>
      </c>
      <c r="C103" s="4">
        <v>100</v>
      </c>
      <c r="D103" s="5">
        <f>C103/100*307</f>
        <v>307</v>
      </c>
      <c r="E103" s="11">
        <f>C103/100*7.5</f>
        <v>7.5</v>
      </c>
      <c r="F103" s="11">
        <f>C103/100*0.97</f>
        <v>0.97</v>
      </c>
      <c r="G103" s="11">
        <f>C103/100*63.43</f>
        <v>63.43</v>
      </c>
      <c r="H103" s="11">
        <f t="shared" si="4"/>
        <v>0</v>
      </c>
      <c r="I103" s="70">
        <f>C103/100*0.53</f>
        <v>0.53</v>
      </c>
      <c r="J103" s="70">
        <f>C103/100*1.59</f>
        <v>1.59</v>
      </c>
      <c r="K103" s="70">
        <f>C103/100*2.12</f>
        <v>2.12</v>
      </c>
      <c r="L103" s="11">
        <f>C103/100*3.79</f>
        <v>3.79</v>
      </c>
      <c r="M103" s="3">
        <v>1</v>
      </c>
    </row>
    <row r="104" spans="2:13">
      <c r="B104" s="81" t="s">
        <v>994</v>
      </c>
      <c r="C104" s="4">
        <v>100</v>
      </c>
      <c r="D104" s="5">
        <f>C104/100*142</f>
        <v>142</v>
      </c>
      <c r="E104" s="11">
        <f>C104/100*3</f>
        <v>3</v>
      </c>
      <c r="F104" s="11">
        <f>C104/100*0.7</f>
        <v>0.7</v>
      </c>
      <c r="G104" s="11">
        <f>C104/100*30.9</f>
        <v>30.9</v>
      </c>
      <c r="H104" s="11">
        <f t="shared" si="4"/>
        <v>0</v>
      </c>
      <c r="I104" s="70">
        <f>C104/100*0.2</f>
        <v>0.2</v>
      </c>
      <c r="J104" s="70">
        <f>C104/100*0.6</f>
        <v>0.6</v>
      </c>
      <c r="K104" s="70">
        <f>C104/100*0.8</f>
        <v>0.8</v>
      </c>
      <c r="L104" s="70">
        <f>C104/100*1.6345838</f>
        <v>1.6345837999999999</v>
      </c>
      <c r="M104" s="3">
        <v>1</v>
      </c>
    </row>
    <row r="105" spans="2:13">
      <c r="B105" s="104" t="s">
        <v>84</v>
      </c>
      <c r="C105" s="4">
        <v>100</v>
      </c>
      <c r="D105" s="5">
        <f>C105/100*348</f>
        <v>348</v>
      </c>
      <c r="E105" s="11">
        <f>C105/100*8.5</f>
        <v>8.5</v>
      </c>
      <c r="F105" s="11">
        <f>C105/100*1.1</f>
        <v>1.1000000000000001</v>
      </c>
      <c r="G105" s="11">
        <f>C105/100*71.9</f>
        <v>71.900000000000006</v>
      </c>
      <c r="H105" s="11">
        <f t="shared" si="4"/>
        <v>0</v>
      </c>
      <c r="I105" s="70">
        <f>C105/100*0.6</f>
        <v>0.6</v>
      </c>
      <c r="J105" s="70">
        <f>C105/100*1.8</f>
        <v>1.8</v>
      </c>
      <c r="K105" s="70">
        <f>C105/100*2.4</f>
        <v>2.4</v>
      </c>
      <c r="L105" s="11">
        <f>C105/100*4.3</f>
        <v>4.3</v>
      </c>
      <c r="M105" s="3">
        <v>1</v>
      </c>
    </row>
    <row r="106" spans="2:13">
      <c r="B106" s="104" t="s">
        <v>85</v>
      </c>
      <c r="C106" s="4">
        <v>100</v>
      </c>
      <c r="D106" s="5">
        <f>C106/100*126</f>
        <v>126</v>
      </c>
      <c r="E106" s="11">
        <f>C106/100*3.1</f>
        <v>3.1</v>
      </c>
      <c r="F106" s="11">
        <f>C106/100*0.5</f>
        <v>0.5</v>
      </c>
      <c r="G106" s="11">
        <f>C106/100*25.8</f>
        <v>25.8</v>
      </c>
      <c r="H106" s="11">
        <f t="shared" si="4"/>
        <v>0</v>
      </c>
      <c r="I106" s="70">
        <f>C106/100*0.3</f>
        <v>0.3</v>
      </c>
      <c r="J106" s="70">
        <f>C106/100*0.4</f>
        <v>0.4</v>
      </c>
      <c r="K106" s="70">
        <f>C106/100*0.7</f>
        <v>0.7</v>
      </c>
      <c r="L106" s="11">
        <f>C106/100*0.5</f>
        <v>0.5</v>
      </c>
      <c r="M106" s="3">
        <v>1</v>
      </c>
    </row>
    <row r="107" spans="2:13">
      <c r="B107" s="104" t="s">
        <v>86</v>
      </c>
      <c r="C107" s="4">
        <v>100</v>
      </c>
      <c r="D107" s="5">
        <f>C107/100*327</f>
        <v>327</v>
      </c>
      <c r="E107" s="11">
        <f>C107/100*8.3</f>
        <v>8.3000000000000007</v>
      </c>
      <c r="F107" s="11">
        <f>C107/100*1.2</f>
        <v>1.2</v>
      </c>
      <c r="G107" s="11">
        <f>C107/100*70.7</f>
        <v>70.7</v>
      </c>
      <c r="H107" s="11">
        <f t="shared" si="4"/>
        <v>0</v>
      </c>
      <c r="I107" s="70">
        <f>C107/100*0.6</f>
        <v>0.6</v>
      </c>
      <c r="J107" s="70">
        <f>C107/100*1.8</f>
        <v>1.8</v>
      </c>
      <c r="K107" s="70">
        <f>C107/100*2.4</f>
        <v>2.4</v>
      </c>
      <c r="L107" s="11">
        <f>C107/100*5.1</f>
        <v>5.0999999999999996</v>
      </c>
      <c r="M107" s="3">
        <v>1</v>
      </c>
    </row>
    <row r="108" spans="2:13">
      <c r="B108" s="104" t="s">
        <v>87</v>
      </c>
      <c r="C108" s="4">
        <v>100</v>
      </c>
      <c r="D108" s="5">
        <f>C108/100*125</f>
        <v>125</v>
      </c>
      <c r="E108" s="11">
        <f>C108/100*2.8</f>
        <v>2.8</v>
      </c>
      <c r="F108" s="11">
        <f>C108/100*0.6</f>
        <v>0.6</v>
      </c>
      <c r="G108" s="11">
        <f>C108/100*27.2</f>
        <v>27.2</v>
      </c>
      <c r="H108" s="11">
        <f t="shared" si="4"/>
        <v>0</v>
      </c>
      <c r="I108" s="70"/>
      <c r="J108" s="70"/>
      <c r="K108" s="70"/>
      <c r="L108" s="11">
        <f>C108/100*0.4397869</f>
        <v>0.43978689999999998</v>
      </c>
      <c r="M108" s="3">
        <v>1</v>
      </c>
    </row>
    <row r="109" spans="2:13">
      <c r="B109" s="103" t="s">
        <v>88</v>
      </c>
      <c r="C109" s="4">
        <v>100</v>
      </c>
      <c r="D109" s="5">
        <f>C109/100*105</f>
        <v>105</v>
      </c>
      <c r="E109" s="11">
        <f>C109/100*2.6</f>
        <v>2.6</v>
      </c>
      <c r="F109" s="11">
        <f>C109/100*0.4</f>
        <v>0.4</v>
      </c>
      <c r="G109" s="11">
        <f>C109/100*21.6</f>
        <v>21.6</v>
      </c>
      <c r="H109" s="11">
        <f t="shared" si="4"/>
        <v>0</v>
      </c>
      <c r="I109" s="70">
        <f>C109/100*0.2</f>
        <v>0.2</v>
      </c>
      <c r="J109" s="70">
        <f>C109/100*0.6</f>
        <v>0.6</v>
      </c>
      <c r="K109" s="70">
        <f>C109/100*0.8</f>
        <v>0.8</v>
      </c>
      <c r="L109" s="70">
        <f>C109/100*0.3</f>
        <v>0.3</v>
      </c>
      <c r="M109" s="3">
        <v>1</v>
      </c>
    </row>
    <row r="110" spans="2:13">
      <c r="B110" s="81" t="s">
        <v>1126</v>
      </c>
      <c r="C110" s="4">
        <v>180</v>
      </c>
      <c r="D110" s="5">
        <f>C110/100*204/1.8</f>
        <v>204</v>
      </c>
      <c r="E110" s="11">
        <f>C110/100*4.5/1.8</f>
        <v>4.5</v>
      </c>
      <c r="F110" s="11">
        <f>C110/100*0.7/1.8</f>
        <v>0.7</v>
      </c>
      <c r="G110" s="11">
        <f>C110/100*45/1.8</f>
        <v>45</v>
      </c>
      <c r="H110" s="11">
        <f t="shared" si="4"/>
        <v>0</v>
      </c>
      <c r="I110" s="70"/>
      <c r="J110" s="70"/>
      <c r="K110" s="70">
        <f>C110/100*0.15/1.8</f>
        <v>0.15</v>
      </c>
      <c r="L110" s="11">
        <f>C110/100*0.2186224/1.8</f>
        <v>0.21862239999999999</v>
      </c>
      <c r="M110" s="3">
        <v>1</v>
      </c>
    </row>
    <row r="111" spans="2:13">
      <c r="B111" s="81" t="s">
        <v>89</v>
      </c>
      <c r="C111" s="4">
        <v>100</v>
      </c>
      <c r="D111" s="5">
        <f>C111/100*293</f>
        <v>293</v>
      </c>
      <c r="E111" s="11">
        <f>C111/100*23</f>
        <v>23</v>
      </c>
      <c r="F111" s="11">
        <f>C111/100*21</f>
        <v>21</v>
      </c>
      <c r="G111" s="11">
        <f>C111/100*3.1</f>
        <v>3.1</v>
      </c>
      <c r="H111" s="11">
        <f>C111/100*230</f>
        <v>230</v>
      </c>
      <c r="I111" s="70"/>
      <c r="J111" s="70"/>
      <c r="K111" s="70"/>
      <c r="L111" s="70">
        <f>C111/100*1.3</f>
        <v>1.3</v>
      </c>
      <c r="M111" s="3">
        <v>3</v>
      </c>
    </row>
    <row r="112" spans="2:13">
      <c r="B112" s="103" t="s">
        <v>90</v>
      </c>
      <c r="C112" s="4">
        <v>100</v>
      </c>
      <c r="D112" s="5">
        <f>C112/100*120</f>
        <v>120</v>
      </c>
      <c r="E112" s="11">
        <f>C112/100*16</f>
        <v>16</v>
      </c>
      <c r="F112" s="11">
        <f>C112/100*4.8</f>
        <v>4.8</v>
      </c>
      <c r="G112" s="11">
        <f>C112/100*3.3</f>
        <v>3.3</v>
      </c>
      <c r="H112" s="11">
        <f>C112/100*290</f>
        <v>290</v>
      </c>
      <c r="I112" s="70"/>
      <c r="J112" s="70"/>
      <c r="K112" s="70"/>
      <c r="L112" s="70">
        <f>C112/100*0.6</f>
        <v>0.6</v>
      </c>
      <c r="M112" s="3">
        <v>3</v>
      </c>
    </row>
    <row r="113" spans="2:13">
      <c r="B113" s="117" t="s">
        <v>1007</v>
      </c>
      <c r="C113" s="4">
        <v>100</v>
      </c>
      <c r="D113" s="5">
        <f>C113/100*69.96</f>
        <v>69.959999999999994</v>
      </c>
      <c r="E113" s="11">
        <f>C113/100*1.68</f>
        <v>1.68</v>
      </c>
      <c r="F113" s="11">
        <f>C113/100*0.18</f>
        <v>0.18</v>
      </c>
      <c r="G113" s="11">
        <f>C113/100*16.29</f>
        <v>16.29</v>
      </c>
      <c r="H113" s="11">
        <f t="shared" ref="H113:H118" si="5">C113/100*0</f>
        <v>0</v>
      </c>
      <c r="I113" s="70">
        <f>C113/100*2.47</f>
        <v>2.4700000000000002</v>
      </c>
      <c r="J113" s="70">
        <f>C113/100*3.12</f>
        <v>3.12</v>
      </c>
      <c r="K113" s="70">
        <f>C113/100*5.59</f>
        <v>5.59</v>
      </c>
      <c r="L113" s="11">
        <f>C113/100*0.67</f>
        <v>0.67</v>
      </c>
      <c r="M113" s="19" t="s">
        <v>751</v>
      </c>
    </row>
    <row r="114" spans="2:13">
      <c r="B114" s="117" t="s">
        <v>1002</v>
      </c>
      <c r="C114" s="4">
        <v>100</v>
      </c>
      <c r="D114" s="5">
        <f>C114/100*21.4</f>
        <v>21.4</v>
      </c>
      <c r="E114" s="11">
        <f>C114/100*0.4</f>
        <v>0.4</v>
      </c>
      <c r="F114" s="11">
        <f>C114/100*0</f>
        <v>0</v>
      </c>
      <c r="G114" s="11">
        <f>C114/100*5.84</f>
        <v>5.84</v>
      </c>
      <c r="H114" s="11">
        <f t="shared" si="5"/>
        <v>0</v>
      </c>
      <c r="I114" s="70">
        <f>C114/100*0.09</f>
        <v>0.09</v>
      </c>
      <c r="J114" s="70">
        <f>C114/100*1.92</f>
        <v>1.92</v>
      </c>
      <c r="K114" s="70">
        <f>C114/100*2.02</f>
        <v>2.02</v>
      </c>
      <c r="L114" s="11">
        <f>C114/100*0.68</f>
        <v>0.68</v>
      </c>
      <c r="M114" s="19" t="s">
        <v>751</v>
      </c>
    </row>
    <row r="115" spans="2:13">
      <c r="B115" s="117" t="s">
        <v>1005</v>
      </c>
      <c r="C115" s="4">
        <v>100</v>
      </c>
      <c r="D115" s="5">
        <f>C115/100*70.87</f>
        <v>70.87</v>
      </c>
      <c r="E115" s="11">
        <f>C115/100*1.68</f>
        <v>1.68</v>
      </c>
      <c r="F115" s="11">
        <f>C115/100*0.09</f>
        <v>0.09</v>
      </c>
      <c r="G115" s="11">
        <f>C115/100*16.01</f>
        <v>16.010000000000002</v>
      </c>
      <c r="H115" s="11">
        <f t="shared" si="5"/>
        <v>0</v>
      </c>
      <c r="I115" s="70">
        <f>C115/100*0.82</f>
        <v>0.82</v>
      </c>
      <c r="J115" s="70">
        <f>C115/100*1.37</f>
        <v>1.37</v>
      </c>
      <c r="K115" s="70">
        <f>C115/100*2.2</f>
        <v>2.2000000000000002</v>
      </c>
      <c r="L115" s="11">
        <f>C115/100*0.67</f>
        <v>0.67</v>
      </c>
      <c r="M115" s="19" t="s">
        <v>751</v>
      </c>
    </row>
    <row r="116" spans="2:13">
      <c r="B116" s="117" t="s">
        <v>1008</v>
      </c>
      <c r="C116" s="4">
        <v>100</v>
      </c>
      <c r="D116" s="5">
        <f>C116/100*49.8</f>
        <v>49.8</v>
      </c>
      <c r="E116" s="11">
        <f>C116/100*3.14</f>
        <v>3.14</v>
      </c>
      <c r="F116" s="11">
        <f>C116/100*0.18</f>
        <v>0.18</v>
      </c>
      <c r="G116" s="11">
        <f>C116/100*10.61</f>
        <v>10.61</v>
      </c>
      <c r="H116" s="11">
        <f t="shared" si="5"/>
        <v>0</v>
      </c>
      <c r="I116" s="70">
        <f>C116/100*0.27</f>
        <v>0.27</v>
      </c>
      <c r="J116" s="70">
        <f>C116/100*2.47</f>
        <v>2.4700000000000002</v>
      </c>
      <c r="K116" s="70">
        <f>C116/100*2.75</f>
        <v>2.75</v>
      </c>
      <c r="L116" s="11">
        <f>C116/100*0.67</f>
        <v>0.67</v>
      </c>
      <c r="M116" s="19" t="s">
        <v>751</v>
      </c>
    </row>
    <row r="117" spans="2:13">
      <c r="B117" s="117" t="s">
        <v>1009</v>
      </c>
      <c r="C117" s="4">
        <v>100</v>
      </c>
      <c r="D117" s="5">
        <f>C117/100*35.14</f>
        <v>35.14</v>
      </c>
      <c r="E117" s="11">
        <f>C117/100*2.5</f>
        <v>2.5</v>
      </c>
      <c r="F117" s="11">
        <f>C117/100*0.27</f>
        <v>0.27</v>
      </c>
      <c r="G117" s="11">
        <f>C117/100*10.24</f>
        <v>10.24</v>
      </c>
      <c r="H117" s="11">
        <f t="shared" si="5"/>
        <v>0</v>
      </c>
      <c r="I117" s="70">
        <f>C117/100*0.37</f>
        <v>0.37</v>
      </c>
      <c r="J117" s="70">
        <f>C117/100*3.94</f>
        <v>3.94</v>
      </c>
      <c r="K117" s="70">
        <f>C117/100*4.31</f>
        <v>4.3099999999999996</v>
      </c>
      <c r="L117" s="11">
        <f>C117/100*0.67</f>
        <v>0.67</v>
      </c>
      <c r="M117" s="19" t="s">
        <v>751</v>
      </c>
    </row>
    <row r="118" spans="2:13">
      <c r="B118" s="117" t="s">
        <v>1001</v>
      </c>
      <c r="C118" s="4">
        <v>100</v>
      </c>
      <c r="D118" s="5">
        <f>C118/100*44.3</f>
        <v>44.3</v>
      </c>
      <c r="E118" s="11">
        <f>C118/100*3.51</f>
        <v>3.51</v>
      </c>
      <c r="F118" s="11">
        <f>C118/100*0.18</f>
        <v>0.18</v>
      </c>
      <c r="G118" s="11">
        <f>C118/100*8.77</f>
        <v>8.77</v>
      </c>
      <c r="H118" s="11">
        <f t="shared" si="5"/>
        <v>0</v>
      </c>
      <c r="I118" s="70">
        <f>C118/100*0.37</f>
        <v>0.37</v>
      </c>
      <c r="J118" s="70">
        <f>C118/100*2.66</f>
        <v>2.66</v>
      </c>
      <c r="K118" s="70">
        <f>C118/100*3.02</f>
        <v>3.02</v>
      </c>
      <c r="L118" s="11">
        <f>C118/100*0.67</f>
        <v>0.67</v>
      </c>
      <c r="M118" s="19" t="s">
        <v>751</v>
      </c>
    </row>
    <row r="119" spans="2:13">
      <c r="B119" s="117" t="s">
        <v>1003</v>
      </c>
      <c r="C119" s="4">
        <v>100</v>
      </c>
      <c r="D119" s="5">
        <f>C119/100*127.68</f>
        <v>127.68</v>
      </c>
      <c r="E119" s="11">
        <f>C119/100*22.66</f>
        <v>22.66</v>
      </c>
      <c r="F119" s="11">
        <f>C119/100*1.74</f>
        <v>1.74</v>
      </c>
      <c r="G119" s="11">
        <f>C119/100*3.73</f>
        <v>3.73</v>
      </c>
      <c r="H119" s="11">
        <f>C119/100*70</f>
        <v>70</v>
      </c>
      <c r="I119" s="70">
        <f>C119/100*0</f>
        <v>0</v>
      </c>
      <c r="J119" s="70">
        <f>C119/100*0</f>
        <v>0</v>
      </c>
      <c r="K119" s="70">
        <f>C119/100*0</f>
        <v>0</v>
      </c>
      <c r="L119" s="11">
        <f>C119/100*0.76</f>
        <v>0.76</v>
      </c>
      <c r="M119" s="19" t="s">
        <v>751</v>
      </c>
    </row>
    <row r="120" spans="2:13">
      <c r="B120" s="117" t="s">
        <v>1006</v>
      </c>
      <c r="C120" s="4">
        <v>100</v>
      </c>
      <c r="D120" s="5">
        <f>C120/100*90.11</f>
        <v>90.11</v>
      </c>
      <c r="E120" s="11">
        <f>C120/100*7.27</f>
        <v>7.27</v>
      </c>
      <c r="F120" s="11">
        <f>C120/100*0.37</f>
        <v>0.37</v>
      </c>
      <c r="G120" s="11">
        <f>C120/100*14.36</f>
        <v>14.36</v>
      </c>
      <c r="H120" s="11">
        <f t="shared" ref="H120:H129" si="6">C120/100*0</f>
        <v>0</v>
      </c>
      <c r="I120" s="70"/>
      <c r="J120" s="70"/>
      <c r="K120" s="70"/>
      <c r="L120" s="11">
        <f>C120/100*2.5</f>
        <v>2.5</v>
      </c>
      <c r="M120" s="19" t="s">
        <v>751</v>
      </c>
    </row>
    <row r="121" spans="2:13">
      <c r="B121" s="117" t="s">
        <v>1004</v>
      </c>
      <c r="C121" s="4">
        <v>100</v>
      </c>
      <c r="D121" s="5">
        <f>C121/100*52.55</f>
        <v>52.55</v>
      </c>
      <c r="E121" s="11">
        <f>C121/100*0.85</f>
        <v>0.85</v>
      </c>
      <c r="F121" s="11">
        <f>C121/100*0.09</f>
        <v>0.09</v>
      </c>
      <c r="G121" s="11">
        <f>C121/100*12.63</f>
        <v>12.63</v>
      </c>
      <c r="H121" s="11">
        <f t="shared" si="6"/>
        <v>0</v>
      </c>
      <c r="I121" s="70">
        <f>C121/100*0.92</f>
        <v>0.92</v>
      </c>
      <c r="J121" s="70">
        <f>C121/100*1.83</f>
        <v>1.83</v>
      </c>
      <c r="K121" s="70">
        <f>C121/100*2.75</f>
        <v>2.75</v>
      </c>
      <c r="L121" s="11">
        <f>C121/100*0.76</f>
        <v>0.76</v>
      </c>
      <c r="M121" s="19" t="s">
        <v>751</v>
      </c>
    </row>
    <row r="122" spans="2:13">
      <c r="B122" s="117" t="s">
        <v>1000</v>
      </c>
      <c r="C122" s="4">
        <v>100</v>
      </c>
      <c r="D122" s="5">
        <f>C122/100*77.29</f>
        <v>77.290000000000006</v>
      </c>
      <c r="E122" s="11">
        <f>C122/100*1.5</f>
        <v>1.5</v>
      </c>
      <c r="F122" s="11">
        <f>C122/100*0.09</f>
        <v>0.09</v>
      </c>
      <c r="G122" s="11">
        <f>C122/100*18.49</f>
        <v>18.489999999999998</v>
      </c>
      <c r="H122" s="11">
        <f t="shared" si="6"/>
        <v>0</v>
      </c>
      <c r="I122" s="70">
        <f>C122/100*0.18</f>
        <v>0.18</v>
      </c>
      <c r="J122" s="70">
        <f>C122/100*1.92</f>
        <v>1.92</v>
      </c>
      <c r="K122" s="70">
        <f>C122/100*2.11</f>
        <v>2.11</v>
      </c>
      <c r="L122" s="11">
        <f>C122/100*0.67</f>
        <v>0.67</v>
      </c>
      <c r="M122" s="19" t="s">
        <v>751</v>
      </c>
    </row>
    <row r="123" spans="2:13">
      <c r="B123" s="104" t="s">
        <v>91</v>
      </c>
      <c r="C123" s="4">
        <v>100</v>
      </c>
      <c r="D123" s="5">
        <f>C123/100*24</f>
        <v>24</v>
      </c>
      <c r="E123" s="11">
        <f>C123/100*0.7</f>
        <v>0.7</v>
      </c>
      <c r="F123" s="11">
        <f>C123/100*0.4</f>
        <v>0.4</v>
      </c>
      <c r="G123" s="11">
        <f>C123/100*6.7</f>
        <v>6.7</v>
      </c>
      <c r="H123" s="11">
        <f t="shared" si="6"/>
        <v>0</v>
      </c>
      <c r="I123" s="70">
        <f>C123/100*1.1</f>
        <v>1.1000000000000001</v>
      </c>
      <c r="J123" s="70">
        <f>C123/100*1.6</f>
        <v>1.6</v>
      </c>
      <c r="K123" s="70">
        <f>C123/100*2.7</f>
        <v>2.7</v>
      </c>
      <c r="L123" s="70">
        <f>C123/100*19.3</f>
        <v>19.3</v>
      </c>
      <c r="M123" s="19" t="s">
        <v>755</v>
      </c>
    </row>
    <row r="124" spans="2:13">
      <c r="B124" s="104" t="s">
        <v>92</v>
      </c>
      <c r="C124" s="4">
        <v>100</v>
      </c>
      <c r="D124" s="5">
        <f>C124/100*28</f>
        <v>28</v>
      </c>
      <c r="E124" s="11">
        <f>C124/100*0.7</f>
        <v>0.7</v>
      </c>
      <c r="F124" s="11">
        <f>C124/100*0.5</f>
        <v>0.5</v>
      </c>
      <c r="G124" s="11">
        <f>C124/100*7.9</f>
        <v>7.9</v>
      </c>
      <c r="H124" s="11">
        <f t="shared" si="6"/>
        <v>0</v>
      </c>
      <c r="I124" s="70">
        <f>C124/100*0.9</f>
        <v>0.9</v>
      </c>
      <c r="J124" s="70">
        <f>C124/100*1.6</f>
        <v>1.6</v>
      </c>
      <c r="K124" s="70">
        <f>C124/100*2.5</f>
        <v>2.5</v>
      </c>
      <c r="L124" s="70">
        <f>C124/100*0</f>
        <v>0</v>
      </c>
      <c r="M124" s="3">
        <v>2</v>
      </c>
    </row>
    <row r="125" spans="2:13">
      <c r="B125" s="104" t="s">
        <v>93</v>
      </c>
      <c r="C125" s="4">
        <v>100</v>
      </c>
      <c r="D125" s="5">
        <f>C125/100*96</f>
        <v>96</v>
      </c>
      <c r="E125" s="11">
        <f>C125/100*0.8</f>
        <v>0.8</v>
      </c>
      <c r="F125" s="11">
        <f>C125/100*0.1</f>
        <v>0.1</v>
      </c>
      <c r="G125" s="11">
        <f>C125/100*22.9</f>
        <v>22.9</v>
      </c>
      <c r="H125" s="11">
        <f t="shared" si="6"/>
        <v>0</v>
      </c>
      <c r="I125" s="70"/>
      <c r="J125" s="70"/>
      <c r="K125" s="70"/>
      <c r="L125" s="11">
        <f>C125/100*5.338454</f>
        <v>5.3384539999999996</v>
      </c>
      <c r="M125" s="19" t="s">
        <v>755</v>
      </c>
    </row>
    <row r="126" spans="2:13">
      <c r="B126" s="104" t="s">
        <v>94</v>
      </c>
      <c r="C126" s="4">
        <v>100</v>
      </c>
      <c r="D126" s="5">
        <f>C126/100*33</f>
        <v>33</v>
      </c>
      <c r="E126" s="11">
        <f>C126/100*0.9</f>
        <v>0.9</v>
      </c>
      <c r="F126" s="11">
        <f>C126/100*0.2</f>
        <v>0.2</v>
      </c>
      <c r="G126" s="11">
        <f>C126/100*10.5</f>
        <v>10.5</v>
      </c>
      <c r="H126" s="11">
        <f t="shared" si="6"/>
        <v>0</v>
      </c>
      <c r="I126" s="70">
        <f>C126/100*1.4</f>
        <v>1.4</v>
      </c>
      <c r="J126" s="70">
        <f>C126/100*2.2</f>
        <v>2.2000000000000002</v>
      </c>
      <c r="K126" s="70">
        <f>C126/100*3.6</f>
        <v>3.6</v>
      </c>
      <c r="L126" s="70">
        <f>C126/100*22.1</f>
        <v>22.1</v>
      </c>
      <c r="M126" s="19" t="s">
        <v>755</v>
      </c>
    </row>
    <row r="127" spans="2:13">
      <c r="B127" s="104" t="s">
        <v>951</v>
      </c>
      <c r="C127" s="4">
        <v>100</v>
      </c>
      <c r="D127" s="5">
        <f>C127/100*96</f>
        <v>96</v>
      </c>
      <c r="E127" s="11">
        <f>C127/100*0.8</f>
        <v>0.8</v>
      </c>
      <c r="F127" s="11">
        <f>C127/100*0.1</f>
        <v>0.1</v>
      </c>
      <c r="G127" s="11">
        <f>C127/100*22.9</f>
        <v>22.9</v>
      </c>
      <c r="H127" s="11">
        <f t="shared" si="6"/>
        <v>0</v>
      </c>
      <c r="I127" s="70"/>
      <c r="J127" s="70"/>
      <c r="K127" s="70"/>
      <c r="L127" s="11">
        <f>C127/100*5.3384541</f>
        <v>5.3384540999999999</v>
      </c>
      <c r="M127" s="19" t="s">
        <v>755</v>
      </c>
    </row>
    <row r="128" spans="2:13">
      <c r="B128" s="104" t="s">
        <v>95</v>
      </c>
      <c r="C128" s="4">
        <v>100</v>
      </c>
      <c r="D128" s="5">
        <f>C128/100*134</f>
        <v>134</v>
      </c>
      <c r="E128" s="11">
        <f>C128/100*11.5</f>
        <v>11.5</v>
      </c>
      <c r="F128" s="11">
        <f>C128/100*6.1</f>
        <v>6.1</v>
      </c>
      <c r="G128" s="11">
        <f>C128/100*8.9</f>
        <v>8.9</v>
      </c>
      <c r="H128" s="11">
        <f t="shared" si="6"/>
        <v>0</v>
      </c>
      <c r="I128" s="70">
        <f>C128/100*0.5</f>
        <v>0.5</v>
      </c>
      <c r="J128" s="70">
        <f>C128/100*4.1</f>
        <v>4.0999999999999996</v>
      </c>
      <c r="K128" s="70">
        <f>C128/100*4.6</f>
        <v>4.5999999999999996</v>
      </c>
      <c r="L128" s="70">
        <f>C128/100*0</f>
        <v>0</v>
      </c>
      <c r="M128" s="3">
        <v>6</v>
      </c>
    </row>
    <row r="129" spans="2:13">
      <c r="B129" s="103" t="s">
        <v>96</v>
      </c>
      <c r="C129" s="4">
        <v>100</v>
      </c>
      <c r="D129" s="5">
        <f>C129/100*22</f>
        <v>22</v>
      </c>
      <c r="E129" s="11">
        <f>C129/100*2.7</f>
        <v>2.7</v>
      </c>
      <c r="F129" s="11">
        <f>C129/100*0.2</f>
        <v>0.2</v>
      </c>
      <c r="G129" s="11">
        <f>C129/100*7.6</f>
        <v>7.6</v>
      </c>
      <c r="H129" s="11">
        <f t="shared" si="6"/>
        <v>0</v>
      </c>
      <c r="I129" s="70">
        <f>C129/100*0.4</f>
        <v>0.4</v>
      </c>
      <c r="J129" s="70">
        <f>C129/100*3.5</f>
        <v>3.5</v>
      </c>
      <c r="K129" s="70">
        <f>C129/100*3.9</f>
        <v>3.9</v>
      </c>
      <c r="L129" s="70">
        <f>C129/100*0</f>
        <v>0</v>
      </c>
      <c r="M129" s="3">
        <v>6</v>
      </c>
    </row>
    <row r="130" spans="2:13">
      <c r="B130" s="103" t="s">
        <v>97</v>
      </c>
      <c r="C130" s="4">
        <v>100</v>
      </c>
      <c r="D130" s="5">
        <f>C130/100*87</f>
        <v>87</v>
      </c>
      <c r="E130" s="11">
        <f>C130/100*19.8</f>
        <v>19.8</v>
      </c>
      <c r="F130" s="11">
        <f>C130/100*0.3</f>
        <v>0.3</v>
      </c>
      <c r="G130" s="11">
        <f>C130/100*0.1</f>
        <v>0.1</v>
      </c>
      <c r="H130" s="11">
        <f>C130/100*130</f>
        <v>130</v>
      </c>
      <c r="I130" s="70"/>
      <c r="J130" s="70"/>
      <c r="K130" s="70"/>
      <c r="L130" s="70">
        <f>C130/100*0.8</f>
        <v>0.8</v>
      </c>
      <c r="M130" s="3">
        <v>3</v>
      </c>
    </row>
    <row r="131" spans="2:13">
      <c r="B131" s="104" t="s">
        <v>98</v>
      </c>
      <c r="C131" s="4">
        <v>100</v>
      </c>
      <c r="D131" s="5">
        <f>C131/100*92</f>
        <v>92</v>
      </c>
      <c r="E131" s="11">
        <f>C131/100*20.9</f>
        <v>20.9</v>
      </c>
      <c r="F131" s="11">
        <f>C131/100*0.4</f>
        <v>0.4</v>
      </c>
      <c r="G131" s="11">
        <f>C131/100*0</f>
        <v>0</v>
      </c>
      <c r="H131" s="11">
        <f>C131/100*93</f>
        <v>93</v>
      </c>
      <c r="I131" s="70"/>
      <c r="J131" s="70"/>
      <c r="K131" s="70"/>
      <c r="L131" s="11">
        <f>C131/100*0.89</f>
        <v>0.89</v>
      </c>
      <c r="M131" s="3">
        <v>3</v>
      </c>
    </row>
    <row r="132" spans="2:13">
      <c r="B132" s="104" t="s">
        <v>99</v>
      </c>
      <c r="C132" s="4">
        <v>100</v>
      </c>
      <c r="D132" s="5">
        <f>C132/100*97</f>
        <v>97</v>
      </c>
      <c r="E132" s="11">
        <f>C132/100*21.6</f>
        <v>21.6</v>
      </c>
      <c r="F132" s="11">
        <f>C132/100*0.6</f>
        <v>0.6</v>
      </c>
      <c r="G132" s="11">
        <f>C132/100*0</f>
        <v>0</v>
      </c>
      <c r="H132" s="11">
        <f>C132/100*170</f>
        <v>170</v>
      </c>
      <c r="I132" s="70"/>
      <c r="J132" s="70"/>
      <c r="K132" s="70"/>
      <c r="L132" s="70">
        <f>C132/100*0.4</f>
        <v>0.4</v>
      </c>
      <c r="M132" s="3">
        <v>3</v>
      </c>
    </row>
    <row r="133" spans="2:13">
      <c r="B133" s="104" t="s">
        <v>100</v>
      </c>
      <c r="C133" s="4">
        <v>100</v>
      </c>
      <c r="D133" s="5">
        <f>C133/100*103</f>
        <v>103</v>
      </c>
      <c r="E133" s="11">
        <f>C133/100*23.5</f>
        <v>23.5</v>
      </c>
      <c r="F133" s="11">
        <f>C133/100*0.4</f>
        <v>0.4</v>
      </c>
      <c r="G133" s="11">
        <f>C133/100*0</f>
        <v>0</v>
      </c>
      <c r="H133" s="11">
        <f>C133/100*200</f>
        <v>200</v>
      </c>
      <c r="I133" s="70"/>
      <c r="J133" s="70"/>
      <c r="K133" s="70"/>
      <c r="L133" s="11">
        <f>C133/100*0.46</f>
        <v>0.46</v>
      </c>
      <c r="M133" s="3">
        <v>3</v>
      </c>
    </row>
    <row r="134" spans="2:13">
      <c r="B134" s="104" t="s">
        <v>101</v>
      </c>
      <c r="C134" s="4">
        <v>100</v>
      </c>
      <c r="D134" s="5">
        <f>C134/100*124</f>
        <v>124</v>
      </c>
      <c r="E134" s="11">
        <f>C134/100*28.2</f>
        <v>28.2</v>
      </c>
      <c r="F134" s="11">
        <f>C134/100*0.5</f>
        <v>0.5</v>
      </c>
      <c r="G134" s="11">
        <f>C134/100*0</f>
        <v>0</v>
      </c>
      <c r="H134" s="11">
        <f>C134/100*180</f>
        <v>180</v>
      </c>
      <c r="I134" s="70"/>
      <c r="J134" s="70"/>
      <c r="K134" s="70"/>
      <c r="L134" s="11">
        <f>C134/100*0.51</f>
        <v>0.51</v>
      </c>
      <c r="M134" s="3">
        <v>3</v>
      </c>
    </row>
    <row r="135" spans="2:13">
      <c r="B135" s="104" t="s">
        <v>102</v>
      </c>
      <c r="C135" s="4">
        <v>100</v>
      </c>
      <c r="D135" s="5">
        <f>C135/100*312</f>
        <v>312</v>
      </c>
      <c r="E135" s="11">
        <f>C135/100*64.9</f>
        <v>64.900000000000006</v>
      </c>
      <c r="F135" s="11">
        <f>C135/100*4</f>
        <v>4</v>
      </c>
      <c r="G135" s="11">
        <f>C135/100*0.1</f>
        <v>0.1</v>
      </c>
      <c r="H135" s="11">
        <f>C135/100*700</f>
        <v>700</v>
      </c>
      <c r="I135" s="70"/>
      <c r="J135" s="70"/>
      <c r="K135" s="70"/>
      <c r="L135" s="70">
        <f>C135/100*3</f>
        <v>3</v>
      </c>
      <c r="M135" s="3">
        <v>3</v>
      </c>
    </row>
    <row r="136" spans="2:13">
      <c r="B136" s="104" t="s">
        <v>103</v>
      </c>
      <c r="C136" s="4">
        <v>100</v>
      </c>
      <c r="D136" s="5">
        <f>C136/100*273</f>
        <v>273</v>
      </c>
      <c r="E136" s="11">
        <f>C136/100*59.1</f>
        <v>59.1</v>
      </c>
      <c r="F136" s="11">
        <f>C136/100*2.5</f>
        <v>2.5</v>
      </c>
      <c r="G136" s="11">
        <f>C136/100*0.1</f>
        <v>0.1</v>
      </c>
      <c r="H136" s="11">
        <f>C136/100*700</f>
        <v>700</v>
      </c>
      <c r="I136" s="70"/>
      <c r="J136" s="70"/>
      <c r="K136" s="70"/>
      <c r="L136" s="11">
        <f>C136/100*8.64</f>
        <v>8.64</v>
      </c>
      <c r="M136" s="3">
        <v>3</v>
      </c>
    </row>
    <row r="137" spans="2:13">
      <c r="B137" s="104" t="s">
        <v>104</v>
      </c>
      <c r="C137" s="4">
        <v>100</v>
      </c>
      <c r="D137" s="5">
        <f>C137/100*83</f>
        <v>83</v>
      </c>
      <c r="E137" s="11">
        <f>C137/100*18.7</f>
        <v>18.7</v>
      </c>
      <c r="F137" s="11">
        <f>C137/100*0.4</f>
        <v>0.4</v>
      </c>
      <c r="G137" s="11">
        <f>C137/100*0.1</f>
        <v>0.1</v>
      </c>
      <c r="H137" s="11">
        <f>C137/100*170</f>
        <v>170</v>
      </c>
      <c r="I137" s="70"/>
      <c r="J137" s="70"/>
      <c r="K137" s="70"/>
      <c r="L137" s="11">
        <f>C137/100*0.64</f>
        <v>0.64</v>
      </c>
      <c r="M137" s="3">
        <v>3</v>
      </c>
    </row>
    <row r="138" spans="2:13">
      <c r="B138" s="104" t="s">
        <v>105</v>
      </c>
      <c r="C138" s="4">
        <v>100</v>
      </c>
      <c r="D138" s="5">
        <f>C138/100*95</f>
        <v>95</v>
      </c>
      <c r="E138" s="11">
        <f>C138/100*21.7</f>
        <v>21.7</v>
      </c>
      <c r="F138" s="11">
        <f>C138/100*0.3</f>
        <v>0.3</v>
      </c>
      <c r="G138" s="11">
        <f>C138/100*0.1</f>
        <v>0.1</v>
      </c>
      <c r="H138" s="11">
        <f>C138/100*160</f>
        <v>160</v>
      </c>
      <c r="I138" s="70"/>
      <c r="J138" s="70"/>
      <c r="K138" s="70"/>
      <c r="L138" s="11">
        <f>C138/100*0.51</f>
        <v>0.51</v>
      </c>
      <c r="M138" s="3">
        <v>3</v>
      </c>
    </row>
    <row r="139" spans="2:13">
      <c r="B139" s="104" t="s">
        <v>106</v>
      </c>
      <c r="C139" s="4">
        <v>100</v>
      </c>
      <c r="D139" s="5">
        <f>C139/100*244</f>
        <v>244</v>
      </c>
      <c r="E139" s="11">
        <f>C139/100*25.9</f>
        <v>25.9</v>
      </c>
      <c r="F139" s="11">
        <f>C139/100*2.2</f>
        <v>2.2000000000000002</v>
      </c>
      <c r="G139" s="11">
        <f>C139/100*30.1</f>
        <v>30.1</v>
      </c>
      <c r="H139" s="11">
        <f>C139/100*230</f>
        <v>230</v>
      </c>
      <c r="I139" s="70"/>
      <c r="J139" s="70"/>
      <c r="K139" s="70"/>
      <c r="L139" s="11">
        <f>C139/100*4.83</f>
        <v>4.83</v>
      </c>
      <c r="M139" s="3">
        <v>3</v>
      </c>
    </row>
    <row r="140" spans="2:13">
      <c r="B140" s="104" t="s">
        <v>107</v>
      </c>
      <c r="C140" s="4">
        <v>100</v>
      </c>
      <c r="D140" s="5">
        <f>C140/100*82</f>
        <v>82</v>
      </c>
      <c r="E140" s="11">
        <f>C140/100*18.4</f>
        <v>18.399999999999999</v>
      </c>
      <c r="F140" s="11">
        <f>C140/100*0.3</f>
        <v>0.3</v>
      </c>
      <c r="G140" s="11">
        <f>C140/100*0.1</f>
        <v>0.1</v>
      </c>
      <c r="H140" s="11">
        <f>C140/100*150</f>
        <v>150</v>
      </c>
      <c r="I140" s="70"/>
      <c r="J140" s="70"/>
      <c r="K140" s="70"/>
      <c r="L140" s="70">
        <f>C140/100*0.4</f>
        <v>0.4</v>
      </c>
      <c r="M140" s="3">
        <v>3</v>
      </c>
    </row>
    <row r="141" spans="2:13">
      <c r="B141" s="104" t="s">
        <v>108</v>
      </c>
      <c r="C141" s="4">
        <v>100</v>
      </c>
      <c r="D141" s="5">
        <f>C141/100*82</f>
        <v>82</v>
      </c>
      <c r="E141" s="11">
        <f>C141/100*18.4</f>
        <v>18.399999999999999</v>
      </c>
      <c r="F141" s="11">
        <f>C141/100*0.3</f>
        <v>0.3</v>
      </c>
      <c r="G141" s="11">
        <f>C141/100*0.3</f>
        <v>0.3</v>
      </c>
      <c r="H141" s="11">
        <f>C141/100*150</f>
        <v>150</v>
      </c>
      <c r="I141" s="70"/>
      <c r="J141" s="70"/>
      <c r="K141" s="70"/>
      <c r="L141" s="70">
        <f>C141/100*0.4</f>
        <v>0.4</v>
      </c>
      <c r="M141" s="3">
        <v>3</v>
      </c>
    </row>
    <row r="142" spans="2:13">
      <c r="B142" s="104" t="s">
        <v>109</v>
      </c>
      <c r="C142" s="4">
        <v>100</v>
      </c>
      <c r="D142" s="5">
        <f>C142/100*232</f>
        <v>232</v>
      </c>
      <c r="E142" s="11">
        <f>C142/100*48.6</f>
        <v>48.6</v>
      </c>
      <c r="F142" s="11">
        <f>C142/100*2.8</f>
        <v>2.8</v>
      </c>
      <c r="G142" s="11">
        <f>C142/100*0.3</f>
        <v>0.3</v>
      </c>
      <c r="H142" s="11">
        <f>C142/100*510</f>
        <v>510</v>
      </c>
      <c r="I142" s="70"/>
      <c r="J142" s="70"/>
      <c r="K142" s="70"/>
      <c r="L142" s="11">
        <f>C142/100*3.81</f>
        <v>3.81</v>
      </c>
      <c r="M142" s="3">
        <v>3</v>
      </c>
    </row>
    <row r="143" spans="2:13">
      <c r="B143" s="104" t="s">
        <v>110</v>
      </c>
      <c r="C143" s="4">
        <v>100</v>
      </c>
      <c r="D143" s="5">
        <f>C143/100*132</f>
        <v>132</v>
      </c>
      <c r="E143" s="11">
        <f>C143/100*8.16</f>
        <v>8.16</v>
      </c>
      <c r="F143" s="11">
        <f>C143/100*7.23</f>
        <v>7.23</v>
      </c>
      <c r="G143" s="11">
        <f>C143/100*6.92</f>
        <v>6.92</v>
      </c>
      <c r="H143" s="11">
        <f>C143/100*0</f>
        <v>0</v>
      </c>
      <c r="I143" s="70"/>
      <c r="J143" s="70"/>
      <c r="K143" s="70">
        <f>C143/100*0.6</f>
        <v>0.6</v>
      </c>
      <c r="L143" s="11">
        <f>C143/100*1.2888807</f>
        <v>1.2888807</v>
      </c>
      <c r="M143" s="19" t="s">
        <v>755</v>
      </c>
    </row>
    <row r="144" spans="2:13">
      <c r="B144" s="81" t="s">
        <v>1072</v>
      </c>
      <c r="C144" s="4">
        <v>100</v>
      </c>
      <c r="D144" s="5">
        <f>C144/100*163</f>
        <v>163</v>
      </c>
      <c r="E144" s="11">
        <f>C144/100*5.69</f>
        <v>5.69</v>
      </c>
      <c r="F144" s="11">
        <f>C144/100*2.38</f>
        <v>2.38</v>
      </c>
      <c r="G144" s="11">
        <f>C144/100*27.74</f>
        <v>27.74</v>
      </c>
      <c r="H144" s="11">
        <f>C144/100*0</f>
        <v>0</v>
      </c>
      <c r="I144" s="70"/>
      <c r="J144" s="70"/>
      <c r="K144" s="70">
        <f>C144/100*0.24</f>
        <v>0.24</v>
      </c>
      <c r="L144" s="11">
        <f>C144/100*0.5417259</f>
        <v>0.54172589999999998</v>
      </c>
      <c r="M144" s="3" t="s">
        <v>754</v>
      </c>
    </row>
    <row r="145" spans="2:13">
      <c r="B145" s="104" t="s">
        <v>111</v>
      </c>
      <c r="C145" s="4">
        <v>27.5</v>
      </c>
      <c r="D145" s="5">
        <f>C145/100*53/0.275</f>
        <v>53</v>
      </c>
      <c r="E145" s="11">
        <f>C145/100*4.96/0.275</f>
        <v>4.96</v>
      </c>
      <c r="F145" s="11">
        <f>C145/100*2.86/0.275</f>
        <v>2.86</v>
      </c>
      <c r="G145" s="11">
        <f>C145/100*1.53/0.275</f>
        <v>1.53</v>
      </c>
      <c r="H145" s="11">
        <f>C145/100*44.1/0.275</f>
        <v>44.1</v>
      </c>
      <c r="I145" s="70"/>
      <c r="J145" s="70"/>
      <c r="K145" s="70">
        <f>C145/100*0.05/0.275</f>
        <v>0.05</v>
      </c>
      <c r="L145" s="11">
        <f>C145/100*0.09/0.275</f>
        <v>0.09</v>
      </c>
      <c r="M145" s="19" t="s">
        <v>755</v>
      </c>
    </row>
    <row r="146" spans="2:13">
      <c r="B146" s="81" t="s">
        <v>1186</v>
      </c>
      <c r="C146" s="4">
        <v>100</v>
      </c>
      <c r="D146" s="5">
        <f>C146/100*195.55</f>
        <v>195.55</v>
      </c>
      <c r="E146" s="11">
        <f>C146/100*17.97</f>
        <v>17.97</v>
      </c>
      <c r="F146" s="11">
        <f>C146/100*10.42</f>
        <v>10.42</v>
      </c>
      <c r="G146" s="11">
        <f>C146/100*5.54</f>
        <v>5.54</v>
      </c>
      <c r="H146" s="11">
        <f>C146/100*160.36</f>
        <v>160.36000000000001</v>
      </c>
      <c r="I146" s="70"/>
      <c r="J146" s="70"/>
      <c r="K146" s="70">
        <f>C146/100*0.18</f>
        <v>0.18</v>
      </c>
      <c r="L146" s="11">
        <f>C146/100*0.33</f>
        <v>0.33</v>
      </c>
      <c r="M146" s="3">
        <v>3</v>
      </c>
    </row>
    <row r="147" spans="2:13">
      <c r="B147" s="103" t="s">
        <v>112</v>
      </c>
      <c r="C147" s="4">
        <v>100</v>
      </c>
      <c r="D147" s="5">
        <f>C147/100*139</f>
        <v>139</v>
      </c>
      <c r="E147" s="11">
        <f>C147/100*10.2</f>
        <v>10.199999999999999</v>
      </c>
      <c r="F147" s="11">
        <f>C147/100*1.9</f>
        <v>1.9</v>
      </c>
      <c r="G147" s="11">
        <f>C147/100*20.3</f>
        <v>20.3</v>
      </c>
      <c r="H147" s="11">
        <f t="shared" ref="H147:H166" si="7">C147/100*0</f>
        <v>0</v>
      </c>
      <c r="I147" s="70"/>
      <c r="J147" s="70"/>
      <c r="K147" s="70"/>
      <c r="L147" s="70">
        <f>C147/100*0.9</f>
        <v>0.9</v>
      </c>
      <c r="M147" s="19" t="s">
        <v>755</v>
      </c>
    </row>
    <row r="148" spans="2:13">
      <c r="B148" s="104" t="s">
        <v>113</v>
      </c>
      <c r="C148" s="4">
        <v>100</v>
      </c>
      <c r="D148" s="5">
        <f>C148/100*24</f>
        <v>24</v>
      </c>
      <c r="E148" s="11">
        <f>C148/100*3.6</f>
        <v>3.6</v>
      </c>
      <c r="F148" s="11">
        <f>C148/100*0.5</f>
        <v>0.5</v>
      </c>
      <c r="G148" s="11">
        <f>C148/100*7.4</f>
        <v>7.4</v>
      </c>
      <c r="H148" s="11">
        <f t="shared" si="7"/>
        <v>0</v>
      </c>
      <c r="I148" s="70">
        <f>C148/100*0.3</f>
        <v>0.3</v>
      </c>
      <c r="J148" s="70">
        <f>C148/100*4</f>
        <v>4</v>
      </c>
      <c r="K148" s="70">
        <f>C148/100*4.3</f>
        <v>4.3</v>
      </c>
      <c r="L148" s="70">
        <f>C148/100*0</f>
        <v>0</v>
      </c>
      <c r="M148" s="3">
        <v>6</v>
      </c>
    </row>
    <row r="149" spans="2:13">
      <c r="B149" s="104" t="s">
        <v>114</v>
      </c>
      <c r="C149" s="4">
        <v>100</v>
      </c>
      <c r="D149" s="5">
        <f>C149/100*342</f>
        <v>342</v>
      </c>
      <c r="E149" s="11">
        <f>C149/100*16</f>
        <v>16</v>
      </c>
      <c r="F149" s="11">
        <f>C149/100*29.2</f>
        <v>29.2</v>
      </c>
      <c r="G149" s="11">
        <f>C149/100*0</f>
        <v>0</v>
      </c>
      <c r="H149" s="11">
        <f t="shared" si="7"/>
        <v>0</v>
      </c>
      <c r="I149" s="70"/>
      <c r="J149" s="70"/>
      <c r="K149" s="70"/>
      <c r="L149" s="11"/>
      <c r="M149" s="3">
        <v>3</v>
      </c>
    </row>
    <row r="150" spans="2:13">
      <c r="B150" s="104" t="s">
        <v>115</v>
      </c>
      <c r="C150" s="4">
        <v>100</v>
      </c>
      <c r="D150" s="5">
        <f>C150/100*89</f>
        <v>89</v>
      </c>
      <c r="E150" s="11">
        <f>C150/100*4.8</f>
        <v>4.8</v>
      </c>
      <c r="F150" s="11">
        <f>C150/100*3.6</f>
        <v>3.6</v>
      </c>
      <c r="G150" s="11">
        <f>C150/100*9.7</f>
        <v>9.6999999999999993</v>
      </c>
      <c r="H150" s="11">
        <f t="shared" si="7"/>
        <v>0</v>
      </c>
      <c r="I150" s="70">
        <f>C150/100*0.3</f>
        <v>0.3</v>
      </c>
      <c r="J150" s="70">
        <f>C150/100*9.4</f>
        <v>9.4</v>
      </c>
      <c r="K150" s="70">
        <f>C150/100*9.7</f>
        <v>9.6999999999999993</v>
      </c>
      <c r="L150" s="70">
        <f>C150/100*0</f>
        <v>0</v>
      </c>
      <c r="M150" s="3">
        <v>3</v>
      </c>
    </row>
    <row r="151" spans="2:13">
      <c r="B151" s="104" t="s">
        <v>116</v>
      </c>
      <c r="C151" s="4">
        <v>100</v>
      </c>
      <c r="D151" s="5">
        <f>C151/100*111</f>
        <v>111</v>
      </c>
      <c r="E151" s="11">
        <f>C151/100*6.1</f>
        <v>6.1</v>
      </c>
      <c r="F151" s="11">
        <f>C151/100*3.6</f>
        <v>3.6</v>
      </c>
      <c r="G151" s="11">
        <f>C151/100*13.8</f>
        <v>13.8</v>
      </c>
      <c r="H151" s="11">
        <f t="shared" si="7"/>
        <v>0</v>
      </c>
      <c r="I151" s="70">
        <f>C151/100*0.4</f>
        <v>0.4</v>
      </c>
      <c r="J151" s="70">
        <f>C151/100*11.1</f>
        <v>11.1</v>
      </c>
      <c r="K151" s="70">
        <f>C151/100*11.5</f>
        <v>11.5</v>
      </c>
      <c r="L151" s="70">
        <f>C151/100*0</f>
        <v>0</v>
      </c>
      <c r="M151" s="3">
        <v>3</v>
      </c>
    </row>
    <row r="152" spans="2:13">
      <c r="B152" s="104" t="s">
        <v>117</v>
      </c>
      <c r="C152" s="4">
        <v>100</v>
      </c>
      <c r="D152" s="5">
        <f>C152/100*30</f>
        <v>30</v>
      </c>
      <c r="E152" s="11">
        <f>C152/100*2.1</f>
        <v>2.1</v>
      </c>
      <c r="F152" s="11">
        <f>C152/100*1.5</f>
        <v>1.5</v>
      </c>
      <c r="G152" s="11">
        <f>C152/100*6.6</f>
        <v>6.6</v>
      </c>
      <c r="H152" s="11">
        <f t="shared" si="7"/>
        <v>0</v>
      </c>
      <c r="I152" s="70">
        <f>C152/100*1.4</f>
        <v>1.4</v>
      </c>
      <c r="J152" s="70">
        <f>C152/100*3.6</f>
        <v>3.6</v>
      </c>
      <c r="K152" s="70">
        <f>C152/100*5</f>
        <v>5</v>
      </c>
      <c r="L152" s="70">
        <f>C152/100*0</f>
        <v>0</v>
      </c>
      <c r="M152" s="3">
        <v>6</v>
      </c>
    </row>
    <row r="153" spans="2:13">
      <c r="B153" s="104" t="s">
        <v>118</v>
      </c>
      <c r="C153" s="4">
        <v>100</v>
      </c>
      <c r="D153" s="5">
        <f>C153/100*33</f>
        <v>33</v>
      </c>
      <c r="E153" s="11">
        <f>C153/100*2.1</f>
        <v>2.1</v>
      </c>
      <c r="F153" s="11">
        <f>C153/100*0.1</f>
        <v>0.1</v>
      </c>
      <c r="G153" s="11">
        <f>C153/100*7.6</f>
        <v>7.6</v>
      </c>
      <c r="H153" s="11">
        <f t="shared" si="7"/>
        <v>0</v>
      </c>
      <c r="I153" s="70">
        <f>C153/100*1.6</f>
        <v>1.6</v>
      </c>
      <c r="J153" s="70">
        <f>C153/100*3.6</f>
        <v>3.6</v>
      </c>
      <c r="K153" s="70">
        <f>C153/100*5.2</f>
        <v>5.2</v>
      </c>
      <c r="L153" s="70">
        <f>C153/100*0</f>
        <v>0</v>
      </c>
      <c r="M153" s="3">
        <v>6</v>
      </c>
    </row>
    <row r="154" spans="2:13">
      <c r="B154" s="81" t="s">
        <v>1092</v>
      </c>
      <c r="C154" s="4">
        <v>100</v>
      </c>
      <c r="D154" s="5">
        <f>C154/100*459</f>
        <v>459</v>
      </c>
      <c r="E154" s="11">
        <f>C154/100*11.1</f>
        <v>11.1</v>
      </c>
      <c r="F154" s="11">
        <f>C154/100*15.8</f>
        <v>15.8</v>
      </c>
      <c r="G154" s="11">
        <f>C154/100*68</f>
        <v>68</v>
      </c>
      <c r="H154" s="11">
        <f t="shared" si="7"/>
        <v>0</v>
      </c>
      <c r="I154" s="70"/>
      <c r="J154" s="70"/>
      <c r="K154" s="70"/>
      <c r="L154" s="11">
        <f>C154/100*0.66</f>
        <v>0.66</v>
      </c>
      <c r="M154" s="19" t="s">
        <v>751</v>
      </c>
    </row>
    <row r="155" spans="2:13">
      <c r="B155" s="81" t="s">
        <v>1238</v>
      </c>
      <c r="C155" s="4">
        <v>100</v>
      </c>
      <c r="D155" s="5">
        <f>C155/100*459</f>
        <v>459</v>
      </c>
      <c r="E155" s="11">
        <f>C155/100*11.1</f>
        <v>11.1</v>
      </c>
      <c r="F155" s="11">
        <f>C155/100*15.8</f>
        <v>15.8</v>
      </c>
      <c r="G155" s="11">
        <f>C155/100*68</f>
        <v>68</v>
      </c>
      <c r="H155" s="11">
        <f t="shared" si="7"/>
        <v>0</v>
      </c>
      <c r="I155" s="70"/>
      <c r="J155" s="70"/>
      <c r="K155" s="70">
        <f>C155/100*0.4</f>
        <v>0.4</v>
      </c>
      <c r="L155" s="11">
        <f>C155/100*0.66</f>
        <v>0.66</v>
      </c>
      <c r="M155" s="19" t="s">
        <v>751</v>
      </c>
    </row>
    <row r="156" spans="2:13">
      <c r="B156" s="81" t="s">
        <v>1087</v>
      </c>
      <c r="C156" s="4">
        <v>100</v>
      </c>
      <c r="D156" s="5">
        <f>C156/100*380</f>
        <v>380</v>
      </c>
      <c r="E156" s="11">
        <f>C156/100*2.9</f>
        <v>2.9</v>
      </c>
      <c r="F156" s="11">
        <f>C156/100*1.7</f>
        <v>1.7</v>
      </c>
      <c r="G156" s="11">
        <f>C156/100*88.2</f>
        <v>88.2</v>
      </c>
      <c r="H156" s="11">
        <f t="shared" si="7"/>
        <v>0</v>
      </c>
      <c r="I156" s="70"/>
      <c r="J156" s="70"/>
      <c r="K156" s="70"/>
      <c r="L156" s="11">
        <f>C156/100*0.0177948</f>
        <v>1.77948E-2</v>
      </c>
      <c r="M156" s="19" t="s">
        <v>751</v>
      </c>
    </row>
    <row r="157" spans="2:13">
      <c r="B157" s="81" t="s">
        <v>1239</v>
      </c>
      <c r="C157" s="4">
        <v>100</v>
      </c>
      <c r="D157" s="5">
        <f>C157/100*380</f>
        <v>380</v>
      </c>
      <c r="E157" s="11">
        <f>C157/100*2.9</f>
        <v>2.9</v>
      </c>
      <c r="F157" s="11">
        <f>C157/100*1.7</f>
        <v>1.7</v>
      </c>
      <c r="G157" s="11">
        <f>C157/100*88.2</f>
        <v>88.2</v>
      </c>
      <c r="H157" s="11">
        <f t="shared" si="7"/>
        <v>0</v>
      </c>
      <c r="I157" s="70"/>
      <c r="J157" s="70"/>
      <c r="K157" s="70">
        <f>C157/100*0.4</f>
        <v>0.4</v>
      </c>
      <c r="L157" s="11">
        <f>C157/100*0.0177948</f>
        <v>1.77948E-2</v>
      </c>
      <c r="M157" s="19" t="s">
        <v>751</v>
      </c>
    </row>
    <row r="158" spans="2:13">
      <c r="B158" s="104" t="s">
        <v>119</v>
      </c>
      <c r="C158" s="4">
        <v>18</v>
      </c>
      <c r="D158" s="5">
        <f>C158/100*26/0.18</f>
        <v>26</v>
      </c>
      <c r="E158" s="11">
        <f>C158/100*0.3/0.18</f>
        <v>0.3</v>
      </c>
      <c r="F158" s="11">
        <f>C158/100*0/0.18</f>
        <v>0</v>
      </c>
      <c r="G158" s="11">
        <f>C158/100*6.1/0.18</f>
        <v>6.1</v>
      </c>
      <c r="H158" s="11">
        <f t="shared" si="7"/>
        <v>0</v>
      </c>
      <c r="I158" s="70"/>
      <c r="J158" s="70"/>
      <c r="K158" s="70"/>
      <c r="L158" s="70"/>
      <c r="M158" s="19" t="s">
        <v>750</v>
      </c>
    </row>
    <row r="159" spans="2:13">
      <c r="B159" s="81" t="s">
        <v>1135</v>
      </c>
      <c r="C159" s="4">
        <v>50</v>
      </c>
      <c r="D159" s="5">
        <f>C159/100*61/0.5</f>
        <v>61</v>
      </c>
      <c r="E159" s="11">
        <f>C159/100*0.5/0.5</f>
        <v>0.5</v>
      </c>
      <c r="F159" s="11">
        <f>C159/100*0/0.5</f>
        <v>0</v>
      </c>
      <c r="G159" s="11">
        <f>C159/100*14.8/0.5</f>
        <v>14.8</v>
      </c>
      <c r="H159" s="11">
        <f t="shared" si="7"/>
        <v>0</v>
      </c>
      <c r="I159" s="70"/>
      <c r="J159" s="70"/>
      <c r="K159" s="70">
        <f>C159/100*0.6/0.5</f>
        <v>0.6</v>
      </c>
      <c r="L159" s="11">
        <f>C159/100*1.5252726/0.5</f>
        <v>1.5252726000000001</v>
      </c>
      <c r="M159" s="19" t="s">
        <v>750</v>
      </c>
    </row>
    <row r="160" spans="2:13">
      <c r="B160" s="104" t="s">
        <v>120</v>
      </c>
      <c r="C160" s="4">
        <v>367</v>
      </c>
      <c r="D160" s="5">
        <f>C160/100*663.1/3.67</f>
        <v>663.1</v>
      </c>
      <c r="E160" s="11">
        <f>C160/100*24.2/3.67</f>
        <v>24.2</v>
      </c>
      <c r="F160" s="11">
        <f>C160/100*36.9/3.67</f>
        <v>36.9</v>
      </c>
      <c r="G160" s="11">
        <f>C160/100*55.6/3.67</f>
        <v>55.6</v>
      </c>
      <c r="H160" s="11">
        <f t="shared" si="7"/>
        <v>0</v>
      </c>
      <c r="I160" s="70"/>
      <c r="J160" s="70"/>
      <c r="K160" s="70"/>
      <c r="L160" s="70"/>
      <c r="M160" s="19" t="s">
        <v>753</v>
      </c>
    </row>
    <row r="161" spans="2:13">
      <c r="B161" s="104" t="s">
        <v>121</v>
      </c>
      <c r="C161" s="4">
        <v>100</v>
      </c>
      <c r="D161" s="5">
        <f>C161/100*340</f>
        <v>340</v>
      </c>
      <c r="E161" s="11">
        <f>C161/100*9.8</f>
        <v>9.8000000000000007</v>
      </c>
      <c r="F161" s="11">
        <f>C161/100*1.6</f>
        <v>1.6</v>
      </c>
      <c r="G161" s="11">
        <f>C161/100*72.6</f>
        <v>72.599999999999994</v>
      </c>
      <c r="H161" s="11">
        <f t="shared" si="7"/>
        <v>0</v>
      </c>
      <c r="I161" s="70"/>
      <c r="J161" s="70"/>
      <c r="K161" s="70"/>
      <c r="L161" s="11">
        <f>C161/100*3.8131815</f>
        <v>3.8131814999999998</v>
      </c>
      <c r="M161" s="3">
        <v>1</v>
      </c>
    </row>
    <row r="162" spans="2:13">
      <c r="B162" s="104" t="s">
        <v>1223</v>
      </c>
      <c r="C162" s="4">
        <v>100</v>
      </c>
      <c r="D162" s="5">
        <f>C162/100*344</f>
        <v>344</v>
      </c>
      <c r="E162" s="11">
        <f>C162/100*10.2</f>
        <v>10.199999999999999</v>
      </c>
      <c r="F162" s="11">
        <f>C162/100*2.8</f>
        <v>2.8</v>
      </c>
      <c r="G162" s="11">
        <f>C162/100*69.6</f>
        <v>69.599999999999994</v>
      </c>
      <c r="H162" s="11">
        <f t="shared" si="7"/>
        <v>0</v>
      </c>
      <c r="I162" s="70"/>
      <c r="J162" s="70"/>
      <c r="K162" s="70">
        <f>C162/100*0.2</f>
        <v>0.2</v>
      </c>
      <c r="L162" s="11">
        <f>C162/100*3.0505452</f>
        <v>3.0505452000000002</v>
      </c>
      <c r="M162" s="3">
        <v>1</v>
      </c>
    </row>
    <row r="163" spans="2:13">
      <c r="B163" s="104" t="s">
        <v>122</v>
      </c>
      <c r="C163" s="4">
        <v>100</v>
      </c>
      <c r="D163" s="5">
        <f>C163/100*348</f>
        <v>348</v>
      </c>
      <c r="E163" s="11">
        <f>C163/100*9</f>
        <v>9</v>
      </c>
      <c r="F163" s="11">
        <f>C163/100*1.7</f>
        <v>1.7</v>
      </c>
      <c r="G163" s="11">
        <f>C163/100*74.2</f>
        <v>74.2</v>
      </c>
      <c r="H163" s="11">
        <f t="shared" si="7"/>
        <v>0</v>
      </c>
      <c r="I163" s="70"/>
      <c r="J163" s="70"/>
      <c r="K163" s="70"/>
      <c r="L163" s="70">
        <f>C163/100*3.5589694</f>
        <v>3.5589694000000001</v>
      </c>
      <c r="M163" s="3">
        <v>1</v>
      </c>
    </row>
    <row r="164" spans="2:13">
      <c r="B164" s="81" t="s">
        <v>1134</v>
      </c>
      <c r="C164" s="4">
        <v>100</v>
      </c>
      <c r="D164" s="5">
        <f>C164/100*340</f>
        <v>340</v>
      </c>
      <c r="E164" s="11">
        <f>C164/100*9.8</f>
        <v>9.8000000000000007</v>
      </c>
      <c r="F164" s="11">
        <f>C164/100*1.6</f>
        <v>1.6</v>
      </c>
      <c r="G164" s="11">
        <f>C164/100*72.6</f>
        <v>72.599999999999994</v>
      </c>
      <c r="H164" s="11">
        <f t="shared" si="7"/>
        <v>0</v>
      </c>
      <c r="I164" s="70"/>
      <c r="J164" s="70"/>
      <c r="K164" s="70">
        <f>C164/100*2</f>
        <v>2</v>
      </c>
      <c r="L164" s="11">
        <f>C164/100*3.8131815</f>
        <v>3.8131814999999998</v>
      </c>
      <c r="M164" s="3">
        <v>1</v>
      </c>
    </row>
    <row r="165" spans="2:13">
      <c r="B165" s="104" t="s">
        <v>123</v>
      </c>
      <c r="C165" s="4">
        <v>18</v>
      </c>
      <c r="D165" s="5">
        <f>C165/100*26/0.18</f>
        <v>26</v>
      </c>
      <c r="E165" s="11">
        <f>C165/100*0.3/0.18</f>
        <v>0.3</v>
      </c>
      <c r="F165" s="11">
        <f>C165/100*0/0.18</f>
        <v>0</v>
      </c>
      <c r="G165" s="11">
        <f>C165/100*6.1/0.18</f>
        <v>6.1</v>
      </c>
      <c r="H165" s="11">
        <f t="shared" si="7"/>
        <v>0</v>
      </c>
      <c r="I165" s="70"/>
      <c r="J165" s="70"/>
      <c r="K165" s="70"/>
      <c r="L165" s="70">
        <f>C165/100*0.7626363/0.18</f>
        <v>0.76263630000000004</v>
      </c>
      <c r="M165" s="19" t="s">
        <v>753</v>
      </c>
    </row>
    <row r="166" spans="2:13">
      <c r="B166" s="104" t="s">
        <v>124</v>
      </c>
      <c r="C166" s="4">
        <v>150</v>
      </c>
      <c r="D166" s="5">
        <f>C166/100*257/1.5</f>
        <v>257</v>
      </c>
      <c r="E166" s="11">
        <f>C166/100*7.4/1.5</f>
        <v>7.4000000000000012</v>
      </c>
      <c r="F166" s="11">
        <f>C166/100*3.5/1.5</f>
        <v>3.5</v>
      </c>
      <c r="G166" s="11">
        <f>C166/100*49/1.5</f>
        <v>49</v>
      </c>
      <c r="H166" s="11">
        <f t="shared" si="7"/>
        <v>0</v>
      </c>
      <c r="I166" s="70"/>
      <c r="J166" s="70"/>
      <c r="K166" s="70"/>
      <c r="L166" s="70"/>
      <c r="M166" s="19" t="s">
        <v>753</v>
      </c>
    </row>
    <row r="167" spans="2:13">
      <c r="B167" s="81" t="s">
        <v>1262</v>
      </c>
      <c r="C167" s="4">
        <v>60</v>
      </c>
      <c r="D167" s="5">
        <f>C167/100*316/0.6</f>
        <v>316</v>
      </c>
      <c r="E167" s="11">
        <f>C167/100*2.6/0.6</f>
        <v>2.6</v>
      </c>
      <c r="F167" s="11">
        <f>C167/100*17.4/0.6</f>
        <v>17.399999999999999</v>
      </c>
      <c r="G167" s="11">
        <f>C167/100*38.3/0.6</f>
        <v>38.299999999999997</v>
      </c>
      <c r="H167" s="11">
        <f>C167/100*0/0.6</f>
        <v>0</v>
      </c>
      <c r="I167" s="70"/>
      <c r="J167" s="70"/>
      <c r="K167" s="70">
        <f>C167/100*2.2/0.6</f>
        <v>2.2000000000000002</v>
      </c>
      <c r="L167" s="11">
        <f>C167/100*0.6050247/0.6</f>
        <v>0.60502469999999997</v>
      </c>
      <c r="M167" s="19" t="s">
        <v>751</v>
      </c>
    </row>
    <row r="168" spans="2:13">
      <c r="B168" s="104" t="s">
        <v>1029</v>
      </c>
      <c r="C168" s="4">
        <v>90</v>
      </c>
      <c r="D168" s="5">
        <f>C168/100*113/0.9</f>
        <v>113</v>
      </c>
      <c r="E168" s="11">
        <f>C168/100*7.7/0.9</f>
        <v>7.7</v>
      </c>
      <c r="F168" s="11">
        <f>C168/100*6.8/0.9</f>
        <v>6.8</v>
      </c>
      <c r="G168" s="11">
        <f>C168/100*4.9/0.9</f>
        <v>4.9000000000000004</v>
      </c>
      <c r="H168" s="11">
        <f t="shared" ref="H168:H193" si="8">C168/100*0</f>
        <v>0</v>
      </c>
      <c r="I168" s="70"/>
      <c r="J168" s="70"/>
      <c r="K168" s="70"/>
      <c r="L168" s="11">
        <f>C168/100*0.00762636/0.9</f>
        <v>7.6263600000000004E-3</v>
      </c>
      <c r="M168" s="19" t="s">
        <v>751</v>
      </c>
    </row>
    <row r="169" spans="2:13">
      <c r="B169" s="104" t="s">
        <v>1034</v>
      </c>
      <c r="C169" s="4">
        <v>85</v>
      </c>
      <c r="D169" s="5">
        <f>C169/100*6/0.85</f>
        <v>6</v>
      </c>
      <c r="E169" s="11">
        <f>C169/100*0.3/0.85</f>
        <v>0.3</v>
      </c>
      <c r="F169" s="11">
        <f>C169/100*0/0.85</f>
        <v>0</v>
      </c>
      <c r="G169" s="11">
        <f>C169/100*1.2/0.85</f>
        <v>1.2</v>
      </c>
      <c r="H169" s="11">
        <f t="shared" si="8"/>
        <v>0</v>
      </c>
      <c r="I169" s="70"/>
      <c r="J169" s="70"/>
      <c r="K169" s="70"/>
      <c r="L169" s="11">
        <f>C169/100*0.49825572/0.85</f>
        <v>0.49825572000000001</v>
      </c>
      <c r="M169" s="19" t="s">
        <v>751</v>
      </c>
    </row>
    <row r="170" spans="2:13">
      <c r="B170" s="104" t="s">
        <v>1031</v>
      </c>
      <c r="C170" s="4">
        <v>50</v>
      </c>
      <c r="D170" s="5">
        <f>C170/100*82/0.5</f>
        <v>82</v>
      </c>
      <c r="E170" s="11">
        <f>C170/100*6.7/0.5</f>
        <v>6.7</v>
      </c>
      <c r="F170" s="11">
        <f>C170/100*5.5/0.5</f>
        <v>5.5</v>
      </c>
      <c r="G170" s="11">
        <f>C170/100*1.3/0.5</f>
        <v>1.3</v>
      </c>
      <c r="H170" s="11">
        <f t="shared" si="8"/>
        <v>0</v>
      </c>
      <c r="I170" s="70"/>
      <c r="J170" s="70"/>
      <c r="K170" s="70"/>
      <c r="L170" s="11">
        <f>C170/100*0.64824086/0.5</f>
        <v>0.64824086000000003</v>
      </c>
      <c r="M170" s="19" t="s">
        <v>751</v>
      </c>
    </row>
    <row r="171" spans="2:13">
      <c r="B171" s="104" t="s">
        <v>1025</v>
      </c>
      <c r="C171" s="4">
        <v>50</v>
      </c>
      <c r="D171" s="5">
        <f>C171/100*72/0.5</f>
        <v>72</v>
      </c>
      <c r="E171" s="11">
        <f>C171/100*6.2/0.5</f>
        <v>6.2</v>
      </c>
      <c r="F171" s="11">
        <f>C171/100*4.9/0.5</f>
        <v>4.9000000000000004</v>
      </c>
      <c r="G171" s="11">
        <f>C171/100*0/0.5</f>
        <v>0</v>
      </c>
      <c r="H171" s="11">
        <f t="shared" si="8"/>
        <v>0</v>
      </c>
      <c r="I171" s="70"/>
      <c r="J171" s="70"/>
      <c r="K171" s="70"/>
      <c r="L171" s="11">
        <f>C171/100*0.495713595/0.5</f>
        <v>0.49571359500000001</v>
      </c>
      <c r="M171" s="19">
        <v>3</v>
      </c>
    </row>
    <row r="172" spans="2:13">
      <c r="B172" s="104" t="s">
        <v>1024</v>
      </c>
      <c r="C172" s="4">
        <v>50</v>
      </c>
      <c r="D172" s="5">
        <f>C172/100*73/0.5</f>
        <v>73</v>
      </c>
      <c r="E172" s="11">
        <f>C172/100*5.55/0.5</f>
        <v>5.55</v>
      </c>
      <c r="F172" s="11">
        <f>C172/100*1.95/0.5</f>
        <v>1.95</v>
      </c>
      <c r="G172" s="11">
        <f>C172/100*0/0.5</f>
        <v>0</v>
      </c>
      <c r="H172" s="11">
        <f t="shared" si="8"/>
        <v>0</v>
      </c>
      <c r="I172" s="70"/>
      <c r="J172" s="70"/>
      <c r="K172" s="70"/>
      <c r="L172" s="11">
        <f>C172/100*0.699940556/0.5</f>
        <v>0.69994055600000005</v>
      </c>
      <c r="M172" s="19">
        <v>3</v>
      </c>
    </row>
    <row r="173" spans="2:13">
      <c r="B173" s="104" t="s">
        <v>1032</v>
      </c>
      <c r="C173" s="4">
        <v>65</v>
      </c>
      <c r="D173" s="5">
        <f>C173/100*44/0.65</f>
        <v>44</v>
      </c>
      <c r="E173" s="11">
        <f>C173/100*0.72/0.65</f>
        <v>0.72</v>
      </c>
      <c r="F173" s="11">
        <f>C173/100*0/0.65</f>
        <v>0</v>
      </c>
      <c r="G173" s="11">
        <f>C173/100*10.4/0.65</f>
        <v>10.4</v>
      </c>
      <c r="H173" s="11">
        <f t="shared" si="8"/>
        <v>0</v>
      </c>
      <c r="I173" s="70"/>
      <c r="J173" s="70"/>
      <c r="K173" s="70"/>
      <c r="L173" s="11">
        <f>C173/100*0.00495714/0.65</f>
        <v>4.9571399999999996E-3</v>
      </c>
      <c r="M173" s="3">
        <v>1</v>
      </c>
    </row>
    <row r="174" spans="2:13">
      <c r="B174" s="104" t="s">
        <v>125</v>
      </c>
      <c r="C174" s="4">
        <v>100</v>
      </c>
      <c r="D174" s="5">
        <f>C174/100*39.91</f>
        <v>39.909999999999997</v>
      </c>
      <c r="E174" s="11">
        <f>C174/100*1.47</f>
        <v>1.47</v>
      </c>
      <c r="F174" s="11">
        <f>C174/100*0.1</f>
        <v>0.1</v>
      </c>
      <c r="G174" s="11">
        <f>C174/100*8.63</f>
        <v>8.6300000000000008</v>
      </c>
      <c r="H174" s="11">
        <f t="shared" si="8"/>
        <v>0</v>
      </c>
      <c r="I174" s="70">
        <f>C174/100*0.8</f>
        <v>0.8</v>
      </c>
      <c r="J174" s="70">
        <f>C174/100*0.9</f>
        <v>0.9</v>
      </c>
      <c r="K174" s="70">
        <f>C174/100*1.7</f>
        <v>1.7</v>
      </c>
      <c r="L174" s="70">
        <f>C174/100*5.23</f>
        <v>5.23</v>
      </c>
      <c r="M174" s="3">
        <v>6</v>
      </c>
    </row>
    <row r="175" spans="2:13">
      <c r="B175" s="104" t="s">
        <v>1027</v>
      </c>
      <c r="C175" s="4">
        <v>30</v>
      </c>
      <c r="D175" s="5">
        <f>C175/100*30/0.3</f>
        <v>30</v>
      </c>
      <c r="E175" s="11">
        <f>C175/100*6.52/0.3</f>
        <v>6.52</v>
      </c>
      <c r="F175" s="11">
        <f>C175/100*0.21/0.3</f>
        <v>0.21000000000000002</v>
      </c>
      <c r="G175" s="11">
        <f>C175/100*0.03/0.3</f>
        <v>0.03</v>
      </c>
      <c r="H175" s="11">
        <f t="shared" si="8"/>
        <v>0</v>
      </c>
      <c r="I175" s="70"/>
      <c r="J175" s="70"/>
      <c r="K175" s="70"/>
      <c r="L175" s="11">
        <f>C175/100*0.17540635/0.3</f>
        <v>0.17540634999999999</v>
      </c>
      <c r="M175" s="19" t="s">
        <v>751</v>
      </c>
    </row>
    <row r="176" spans="2:13">
      <c r="B176" s="104" t="s">
        <v>1026</v>
      </c>
      <c r="C176" s="4">
        <v>60</v>
      </c>
      <c r="D176" s="5">
        <f>C176/100*86/0.6</f>
        <v>86</v>
      </c>
      <c r="E176" s="11">
        <f>C176/100*6.1/0.6</f>
        <v>6.1</v>
      </c>
      <c r="F176" s="11">
        <f>C176/100*4.8/0.6</f>
        <v>4.8</v>
      </c>
      <c r="G176" s="11">
        <f>C176/100*4.6/0.6</f>
        <v>4.5999999999999996</v>
      </c>
      <c r="H176" s="11">
        <f t="shared" si="8"/>
        <v>0</v>
      </c>
      <c r="I176" s="70"/>
      <c r="J176" s="70"/>
      <c r="K176" s="70"/>
      <c r="L176" s="11">
        <f>C176/100*0.671119944/0.6</f>
        <v>0.67111994399999997</v>
      </c>
      <c r="M176" s="19">
        <v>3</v>
      </c>
    </row>
    <row r="177" spans="2:13">
      <c r="B177" s="104" t="s">
        <v>126</v>
      </c>
      <c r="C177" s="4">
        <v>100</v>
      </c>
      <c r="D177" s="5">
        <f>C177/100*169.19</f>
        <v>169.19</v>
      </c>
      <c r="E177" s="11">
        <f>C177/100*13.71</f>
        <v>13.71</v>
      </c>
      <c r="F177" s="11">
        <f>C177/100*10</f>
        <v>10</v>
      </c>
      <c r="G177" s="11">
        <f>C177/100*4.14</f>
        <v>4.1399999999999997</v>
      </c>
      <c r="H177" s="11">
        <f t="shared" si="8"/>
        <v>0</v>
      </c>
      <c r="I177" s="70">
        <f>C177/100*0</f>
        <v>0</v>
      </c>
      <c r="J177" s="70">
        <f>C177/100*0</f>
        <v>0</v>
      </c>
      <c r="K177" s="70">
        <f>C177/100*0</f>
        <v>0</v>
      </c>
      <c r="L177" s="70">
        <f>C177/100*4.65</f>
        <v>4.6500000000000004</v>
      </c>
      <c r="M177" s="3">
        <v>3</v>
      </c>
    </row>
    <row r="178" spans="2:13">
      <c r="B178" s="104" t="s">
        <v>127</v>
      </c>
      <c r="C178" s="4">
        <v>100</v>
      </c>
      <c r="D178" s="5">
        <f>C178/100*93.83</f>
        <v>93.83</v>
      </c>
      <c r="E178" s="11">
        <f>C178/100*7.33</f>
        <v>7.33</v>
      </c>
      <c r="F178" s="11">
        <f>C178/100*4.6</f>
        <v>4.5999999999999996</v>
      </c>
      <c r="G178" s="11">
        <f>C178/100*6</f>
        <v>6</v>
      </c>
      <c r="H178" s="11">
        <f t="shared" si="8"/>
        <v>0</v>
      </c>
      <c r="I178" s="70">
        <f>C178/100*0.1</f>
        <v>0.1</v>
      </c>
      <c r="J178" s="70">
        <f>C178/100*0.3</f>
        <v>0.3</v>
      </c>
      <c r="K178" s="70">
        <f>C178/100*0.4</f>
        <v>0.4</v>
      </c>
      <c r="L178" s="70">
        <f>C178/100*4.99</f>
        <v>4.99</v>
      </c>
      <c r="M178" s="3">
        <v>3</v>
      </c>
    </row>
    <row r="179" spans="2:13">
      <c r="B179" s="104" t="s">
        <v>1030</v>
      </c>
      <c r="C179" s="4">
        <v>43</v>
      </c>
      <c r="D179" s="5">
        <f>C179/100*47/0.43</f>
        <v>47</v>
      </c>
      <c r="E179" s="11">
        <f>C179/100*5.1/0.43</f>
        <v>5.0999999999999988</v>
      </c>
      <c r="F179" s="11">
        <f>C179/100*0.3/0.43</f>
        <v>0.3</v>
      </c>
      <c r="G179" s="11">
        <f>C179/100*5.9/0.43</f>
        <v>5.8999999999999995</v>
      </c>
      <c r="H179" s="11">
        <f t="shared" si="8"/>
        <v>0</v>
      </c>
      <c r="I179" s="70"/>
      <c r="J179" s="70"/>
      <c r="K179" s="70"/>
      <c r="L179" s="11">
        <f>C179/100*0.94058477/0.43</f>
        <v>0.94058476999999996</v>
      </c>
      <c r="M179" s="19">
        <v>3</v>
      </c>
    </row>
    <row r="180" spans="2:13">
      <c r="B180" s="104" t="s">
        <v>1028</v>
      </c>
      <c r="C180" s="4">
        <v>90</v>
      </c>
      <c r="D180" s="5">
        <f>C180/100*68/0.9</f>
        <v>68</v>
      </c>
      <c r="E180" s="11">
        <f>C180/100*6.3/0.9</f>
        <v>6.3</v>
      </c>
      <c r="F180" s="11">
        <f>C180/100*4.1/0.9</f>
        <v>4.0999999999999996</v>
      </c>
      <c r="G180" s="11">
        <f>C180/100*1.5/0.9</f>
        <v>1.5</v>
      </c>
      <c r="H180" s="11">
        <f t="shared" si="8"/>
        <v>0</v>
      </c>
      <c r="I180" s="70"/>
      <c r="J180" s="70"/>
      <c r="K180" s="70"/>
      <c r="L180" s="11">
        <f>C180/100*0.01271061/0.9</f>
        <v>1.2710610000000001E-2</v>
      </c>
      <c r="M180" s="19">
        <v>3</v>
      </c>
    </row>
    <row r="181" spans="2:13">
      <c r="B181" s="104" t="s">
        <v>128</v>
      </c>
      <c r="C181" s="4">
        <v>75</v>
      </c>
      <c r="D181" s="5">
        <f>C181/100*18/0.75</f>
        <v>18</v>
      </c>
      <c r="E181" s="11">
        <f>C181/100*0.8/0.75</f>
        <v>0.80000000000000016</v>
      </c>
      <c r="F181" s="11">
        <f>C181/100*0/0.75</f>
        <v>0</v>
      </c>
      <c r="G181" s="11">
        <f>C181/100*3.8/0.75</f>
        <v>3.7999999999999994</v>
      </c>
      <c r="H181" s="11">
        <f t="shared" si="8"/>
        <v>0</v>
      </c>
      <c r="I181" s="70"/>
      <c r="J181" s="70"/>
      <c r="K181" s="70"/>
      <c r="L181" s="11">
        <f>C181/100*4.3/0.75</f>
        <v>4.3</v>
      </c>
      <c r="M181" s="19" t="s">
        <v>750</v>
      </c>
    </row>
    <row r="182" spans="2:13">
      <c r="B182" s="81" t="s">
        <v>1124</v>
      </c>
      <c r="C182" s="4">
        <v>100</v>
      </c>
      <c r="D182" s="5">
        <f>C182/100*268</f>
        <v>268</v>
      </c>
      <c r="E182" s="11">
        <f>C182/100*6.88</f>
        <v>6.88</v>
      </c>
      <c r="F182" s="11">
        <f>C182/100*0.91</f>
        <v>0.91</v>
      </c>
      <c r="G182" s="11">
        <f>C182/100*57.42</f>
        <v>57.42</v>
      </c>
      <c r="H182" s="11">
        <f t="shared" si="8"/>
        <v>0</v>
      </c>
      <c r="I182" s="70"/>
      <c r="J182" s="70"/>
      <c r="K182" s="70">
        <f>C182/100*4.74</f>
        <v>4.74</v>
      </c>
      <c r="L182" s="11">
        <f>C182/100*0.24</f>
        <v>0.24</v>
      </c>
      <c r="M182" s="19" t="s">
        <v>751</v>
      </c>
    </row>
    <row r="183" spans="2:13">
      <c r="B183" s="104" t="s">
        <v>129</v>
      </c>
      <c r="C183" s="4">
        <v>67.260000000000005</v>
      </c>
      <c r="D183" s="5">
        <f>C183/100*180/0.6726</f>
        <v>180.00000000000003</v>
      </c>
      <c r="E183" s="11">
        <f>C183/100*4.63/0.6726</f>
        <v>4.6300000000000008</v>
      </c>
      <c r="F183" s="11">
        <f>C183/100*0.61/0.6726</f>
        <v>0.6100000000000001</v>
      </c>
      <c r="G183" s="11">
        <f>C183/100*38.62/0.6726</f>
        <v>38.620000000000005</v>
      </c>
      <c r="H183" s="11">
        <f t="shared" si="8"/>
        <v>0</v>
      </c>
      <c r="I183" s="70"/>
      <c r="J183" s="70"/>
      <c r="K183" s="70">
        <f>C183/100*3.19/0.6726</f>
        <v>3.1900000000000008</v>
      </c>
      <c r="L183" s="11">
        <f>C183/100*0.1609416/0.6726</f>
        <v>0.16094160000000002</v>
      </c>
      <c r="M183" s="19" t="s">
        <v>751</v>
      </c>
    </row>
    <row r="184" spans="2:13">
      <c r="B184" s="81" t="s">
        <v>130</v>
      </c>
      <c r="C184" s="4">
        <v>100</v>
      </c>
      <c r="D184" s="5">
        <f>C184/100*100</f>
        <v>100</v>
      </c>
      <c r="E184" s="11">
        <f>C184/100*19.9</f>
        <v>19.899999999999999</v>
      </c>
      <c r="F184" s="11">
        <f>C184/100*1.7</f>
        <v>1.7</v>
      </c>
      <c r="G184" s="11">
        <f>C184/100*0.1</f>
        <v>0.1</v>
      </c>
      <c r="H184" s="11">
        <f t="shared" si="8"/>
        <v>0</v>
      </c>
      <c r="I184" s="70"/>
      <c r="J184" s="70"/>
      <c r="K184" s="70"/>
      <c r="L184" s="70">
        <f>C184/100*0.2</f>
        <v>0.2</v>
      </c>
      <c r="M184" s="3">
        <v>3</v>
      </c>
    </row>
    <row r="185" spans="2:13">
      <c r="B185" s="104" t="s">
        <v>131</v>
      </c>
      <c r="C185" s="4">
        <v>10</v>
      </c>
      <c r="D185" s="5">
        <f>C185/100*14/0.1</f>
        <v>14</v>
      </c>
      <c r="E185" s="11">
        <f>C185/100*1.3/0.1</f>
        <v>1.3</v>
      </c>
      <c r="F185" s="11">
        <f>C185/100*0.6/0.1</f>
        <v>0.6</v>
      </c>
      <c r="G185" s="11">
        <f>C185/100*4.3/0.1</f>
        <v>4.3</v>
      </c>
      <c r="H185" s="11">
        <f t="shared" si="8"/>
        <v>0</v>
      </c>
      <c r="I185" s="70"/>
      <c r="J185" s="70"/>
      <c r="K185" s="70"/>
      <c r="L185" s="70"/>
      <c r="M185" s="19" t="s">
        <v>751</v>
      </c>
    </row>
    <row r="186" spans="2:13">
      <c r="B186" s="104" t="s">
        <v>817</v>
      </c>
      <c r="C186" s="4">
        <v>100</v>
      </c>
      <c r="D186" s="5">
        <f>C186/100*921</f>
        <v>921</v>
      </c>
      <c r="E186" s="11">
        <f>C186/100*0</f>
        <v>0</v>
      </c>
      <c r="F186" s="11">
        <f>C186/100*100</f>
        <v>100</v>
      </c>
      <c r="G186" s="11">
        <f>C186/100*0</f>
        <v>0</v>
      </c>
      <c r="H186" s="11">
        <f t="shared" si="8"/>
        <v>0</v>
      </c>
      <c r="I186" s="70"/>
      <c r="J186" s="70"/>
      <c r="K186" s="70"/>
      <c r="L186" s="11"/>
      <c r="M186" s="3">
        <v>5</v>
      </c>
    </row>
    <row r="187" spans="2:13">
      <c r="B187" s="104" t="s">
        <v>132</v>
      </c>
      <c r="C187" s="4">
        <v>140</v>
      </c>
      <c r="D187" s="5">
        <f>C187/100*70/1.4</f>
        <v>70</v>
      </c>
      <c r="E187" s="11">
        <f>C187/100*1.3/1.4</f>
        <v>1.3</v>
      </c>
      <c r="F187" s="11">
        <f>C187/100*0.1/1.4</f>
        <v>9.9999999999999992E-2</v>
      </c>
      <c r="G187" s="11">
        <f>C187/100*17.8/1.4</f>
        <v>17.8</v>
      </c>
      <c r="H187" s="11">
        <f t="shared" si="8"/>
        <v>0</v>
      </c>
      <c r="I187" s="70">
        <f>C187/100*0.4/1.4</f>
        <v>0.39999999999999997</v>
      </c>
      <c r="J187" s="70">
        <f>C187/100*0.3/1.4</f>
        <v>0.3</v>
      </c>
      <c r="K187" s="70">
        <f>C187/100*0.7/1.4</f>
        <v>0.7</v>
      </c>
      <c r="L187" s="11"/>
      <c r="M187" s="3">
        <v>2</v>
      </c>
    </row>
    <row r="188" spans="2:13">
      <c r="B188" s="81" t="s">
        <v>133</v>
      </c>
      <c r="C188" s="4">
        <v>100</v>
      </c>
      <c r="D188" s="5">
        <f>C188/100*46</f>
        <v>46</v>
      </c>
      <c r="E188" s="11">
        <f>C188/100*0.9</f>
        <v>0.9</v>
      </c>
      <c r="F188" s="11">
        <f>C188/100*0.1</f>
        <v>0.1</v>
      </c>
      <c r="G188" s="11">
        <f>C188/100*11.8</f>
        <v>11.8</v>
      </c>
      <c r="H188" s="11">
        <f t="shared" si="8"/>
        <v>0</v>
      </c>
      <c r="I188" s="70">
        <f>C188/100*0.4</f>
        <v>0.4</v>
      </c>
      <c r="J188" s="70">
        <f>C188/100*0.6</f>
        <v>0.6</v>
      </c>
      <c r="K188" s="70">
        <f>C188/100*1</f>
        <v>1</v>
      </c>
      <c r="L188" s="70">
        <f>C188/100*0</f>
        <v>0</v>
      </c>
      <c r="M188" s="3">
        <v>2</v>
      </c>
    </row>
    <row r="189" spans="2:13">
      <c r="B189" s="104" t="s">
        <v>134</v>
      </c>
      <c r="C189" s="4">
        <v>100</v>
      </c>
      <c r="D189" s="5">
        <f>C189/100*39</f>
        <v>39</v>
      </c>
      <c r="E189" s="11">
        <f>C189/100*1</f>
        <v>1</v>
      </c>
      <c r="F189" s="11">
        <f>C189/100*0.1</f>
        <v>0.1</v>
      </c>
      <c r="G189" s="11">
        <f>C189/100*9.8</f>
        <v>9.8000000000000007</v>
      </c>
      <c r="H189" s="11">
        <f t="shared" si="8"/>
        <v>0</v>
      </c>
      <c r="I189" s="70">
        <f>C189/100*0.3</f>
        <v>0.3</v>
      </c>
      <c r="J189" s="70">
        <f>C189/100*0.5</f>
        <v>0.5</v>
      </c>
      <c r="K189" s="70">
        <f>C189/100*0.8</f>
        <v>0.8</v>
      </c>
      <c r="L189" s="70">
        <f>C189/100*0</f>
        <v>0</v>
      </c>
      <c r="M189" s="3">
        <v>2</v>
      </c>
    </row>
    <row r="190" spans="2:13">
      <c r="B190" s="104" t="s">
        <v>834</v>
      </c>
      <c r="C190" s="4">
        <v>100</v>
      </c>
      <c r="D190" s="5">
        <f>C190/100*43</f>
        <v>43</v>
      </c>
      <c r="E190" s="11">
        <f>C190/100*0.7</f>
        <v>0.7</v>
      </c>
      <c r="F190" s="11">
        <f>C190/100*0.6</f>
        <v>0.6</v>
      </c>
      <c r="G190" s="11">
        <f>C190/100*8.6</f>
        <v>8.6</v>
      </c>
      <c r="H190" s="11">
        <f t="shared" si="8"/>
        <v>0</v>
      </c>
      <c r="I190" s="70"/>
      <c r="J190" s="70"/>
      <c r="K190" s="70"/>
      <c r="L190" s="11">
        <f>C190/100*1.4744301</f>
        <v>1.4744301</v>
      </c>
      <c r="M190" s="19" t="s">
        <v>750</v>
      </c>
    </row>
    <row r="191" spans="2:13">
      <c r="B191" s="104" t="s">
        <v>835</v>
      </c>
      <c r="C191" s="4">
        <v>100</v>
      </c>
      <c r="D191" s="5">
        <f>C191/100*171</f>
        <v>171</v>
      </c>
      <c r="E191" s="11">
        <f>C191/100*4.7</f>
        <v>4.7</v>
      </c>
      <c r="F191" s="11">
        <f>C191/100*0.5</f>
        <v>0.5</v>
      </c>
      <c r="G191" s="11">
        <f>C191/100*37</f>
        <v>37</v>
      </c>
      <c r="H191" s="11">
        <f t="shared" si="8"/>
        <v>0</v>
      </c>
      <c r="I191" s="70"/>
      <c r="J191" s="70"/>
      <c r="K191" s="70"/>
      <c r="L191" s="11">
        <f>C191/100*4.5758178</f>
        <v>4.5758178000000003</v>
      </c>
      <c r="M191" s="19" t="s">
        <v>750</v>
      </c>
    </row>
    <row r="192" spans="2:13">
      <c r="B192" s="104" t="s">
        <v>135</v>
      </c>
      <c r="C192" s="4">
        <v>100</v>
      </c>
      <c r="D192" s="5">
        <f>C192/100*14</f>
        <v>14</v>
      </c>
      <c r="E192" s="11">
        <f>C192/100*1.7</f>
        <v>1.7</v>
      </c>
      <c r="F192" s="11">
        <f>C192/100*0.1</f>
        <v>0.1</v>
      </c>
      <c r="G192" s="11">
        <f>C192/100*2.6</f>
        <v>2.6</v>
      </c>
      <c r="H192" s="11">
        <f t="shared" si="8"/>
        <v>0</v>
      </c>
      <c r="I192" s="70"/>
      <c r="J192" s="70"/>
      <c r="K192" s="70"/>
      <c r="L192" s="11">
        <f>C192/100*0.0050842</f>
        <v>5.0841999999999997E-3</v>
      </c>
      <c r="M192" s="3">
        <v>6</v>
      </c>
    </row>
    <row r="193" spans="2:13">
      <c r="B193" s="103" t="s">
        <v>136</v>
      </c>
      <c r="C193" s="4">
        <v>100</v>
      </c>
      <c r="D193" s="5">
        <f>C193/100*21</f>
        <v>21</v>
      </c>
      <c r="E193" s="11">
        <f>C193/100*2.1</f>
        <v>2.1</v>
      </c>
      <c r="F193" s="11">
        <f>C193/100*0.5</f>
        <v>0.5</v>
      </c>
      <c r="G193" s="11">
        <f>C193/100*3.3</f>
        <v>3.3</v>
      </c>
      <c r="H193" s="11">
        <f t="shared" si="8"/>
        <v>0</v>
      </c>
      <c r="I193" s="70">
        <f>C193/100*0.3</f>
        <v>0.3</v>
      </c>
      <c r="J193" s="70">
        <f>C193/100*1.6</f>
        <v>1.6</v>
      </c>
      <c r="K193" s="70">
        <f>C193/100*1.9</f>
        <v>1.9</v>
      </c>
      <c r="L193" s="70">
        <f>C193/100*0</f>
        <v>0</v>
      </c>
      <c r="M193" s="3">
        <v>6</v>
      </c>
    </row>
    <row r="194" spans="2:13">
      <c r="B194" s="104" t="s">
        <v>137</v>
      </c>
      <c r="C194" s="4">
        <v>100</v>
      </c>
      <c r="D194" s="5">
        <f>C194/100*60</f>
        <v>60</v>
      </c>
      <c r="E194" s="11">
        <f>C194/100*6.6</f>
        <v>6.6</v>
      </c>
      <c r="F194" s="11">
        <f>C194/100*1.4</f>
        <v>1.4</v>
      </c>
      <c r="G194" s="11">
        <f>C194/100*4.7</f>
        <v>4.7</v>
      </c>
      <c r="H194" s="11">
        <f>C194/100*51</f>
        <v>51</v>
      </c>
      <c r="I194" s="70"/>
      <c r="J194" s="70"/>
      <c r="K194" s="70"/>
      <c r="L194" s="11">
        <f>C194/100*1.3</f>
        <v>1.3</v>
      </c>
      <c r="M194" s="3">
        <v>3</v>
      </c>
    </row>
    <row r="195" spans="2:13">
      <c r="B195" s="103" t="s">
        <v>138</v>
      </c>
      <c r="C195" s="4">
        <v>100</v>
      </c>
      <c r="D195" s="5">
        <f>C195/100*60</f>
        <v>60</v>
      </c>
      <c r="E195" s="11">
        <f>C195/100*0.4</f>
        <v>0.4</v>
      </c>
      <c r="F195" s="11">
        <f>C195/100*0.2</f>
        <v>0.2</v>
      </c>
      <c r="G195" s="11">
        <f>C195/100*15.9</f>
        <v>15.9</v>
      </c>
      <c r="H195" s="11">
        <f t="shared" ref="H195:H206" si="9">C195/100*0</f>
        <v>0</v>
      </c>
      <c r="I195" s="70">
        <f>C195/100*0.2</f>
        <v>0.2</v>
      </c>
      <c r="J195" s="70">
        <f>C195/100*1.4</f>
        <v>1.4</v>
      </c>
      <c r="K195" s="70">
        <f>C195/100*1.6</f>
        <v>1.6</v>
      </c>
      <c r="L195" s="70">
        <f>C195/100*0</f>
        <v>0</v>
      </c>
      <c r="M195" s="3">
        <v>2</v>
      </c>
    </row>
    <row r="196" spans="2:13">
      <c r="B196" s="103" t="s">
        <v>139</v>
      </c>
      <c r="C196" s="4">
        <v>100</v>
      </c>
      <c r="D196" s="5">
        <f>C196/100*276</f>
        <v>276</v>
      </c>
      <c r="E196" s="11">
        <f>C196/100*1.5</f>
        <v>1.5</v>
      </c>
      <c r="F196" s="11">
        <f>C196/100*1.7</f>
        <v>1.7</v>
      </c>
      <c r="G196" s="11">
        <f>C196/100*71.3</f>
        <v>71.3</v>
      </c>
      <c r="H196" s="11">
        <f t="shared" si="9"/>
        <v>0</v>
      </c>
      <c r="I196" s="70">
        <f>C196/100*1.3</f>
        <v>1.3</v>
      </c>
      <c r="J196" s="70">
        <f>C196/100*12.7</f>
        <v>12.7</v>
      </c>
      <c r="K196" s="70">
        <f>C196/100*14</f>
        <v>14</v>
      </c>
      <c r="L196" s="70">
        <f>C196/100*0</f>
        <v>0</v>
      </c>
      <c r="M196" s="3">
        <v>2</v>
      </c>
    </row>
    <row r="197" spans="2:13">
      <c r="B197" s="80" t="s">
        <v>140</v>
      </c>
      <c r="C197" s="4">
        <v>100</v>
      </c>
      <c r="D197" s="5">
        <f>C197/100*192</f>
        <v>192</v>
      </c>
      <c r="E197" s="11">
        <f>C197/100*5.86</f>
        <v>5.86</v>
      </c>
      <c r="F197" s="11">
        <f>C197/100*12.59</f>
        <v>12.59</v>
      </c>
      <c r="G197" s="11">
        <f>C197/100*12.99</f>
        <v>12.99</v>
      </c>
      <c r="H197" s="11">
        <f t="shared" si="9"/>
        <v>0</v>
      </c>
      <c r="I197" s="70"/>
      <c r="J197" s="70"/>
      <c r="K197" s="70">
        <f>C197/100*1.28</f>
        <v>1.28</v>
      </c>
      <c r="L197" s="11">
        <f>C197/100*0.56</f>
        <v>0.56000000000000005</v>
      </c>
      <c r="M197" s="19" t="s">
        <v>753</v>
      </c>
    </row>
    <row r="198" spans="2:13">
      <c r="B198" s="104" t="s">
        <v>141</v>
      </c>
      <c r="C198" s="4">
        <v>457.2</v>
      </c>
      <c r="D198" s="5">
        <f>C198/100*416/4.572</f>
        <v>416</v>
      </c>
      <c r="E198" s="11">
        <f>C198/100*12.85/4.572</f>
        <v>12.85</v>
      </c>
      <c r="F198" s="11">
        <f>C198/100*7.5/4.572</f>
        <v>7.5</v>
      </c>
      <c r="G198" s="11">
        <f>C198/100*71.6/4.572</f>
        <v>71.599999999999994</v>
      </c>
      <c r="H198" s="11">
        <f t="shared" si="9"/>
        <v>0</v>
      </c>
      <c r="I198" s="70"/>
      <c r="J198" s="70"/>
      <c r="K198" s="70">
        <f>C198/100*2.61/4.572</f>
        <v>2.61</v>
      </c>
      <c r="L198" s="11">
        <f>C198/100*6.6025491/4.572</f>
        <v>6.6025491000000001</v>
      </c>
      <c r="M198" s="19" t="s">
        <v>753</v>
      </c>
    </row>
    <row r="199" spans="2:13">
      <c r="B199" s="104" t="s">
        <v>142</v>
      </c>
      <c r="C199" s="4">
        <v>716.7</v>
      </c>
      <c r="D199" s="5">
        <f>C199/100*466/7.167</f>
        <v>466</v>
      </c>
      <c r="E199" s="11">
        <f>C199/100*19.35/7.167</f>
        <v>19.350000000000001</v>
      </c>
      <c r="F199" s="11">
        <f>C199/100*8.46/7.167</f>
        <v>8.4600000000000009</v>
      </c>
      <c r="G199" s="11">
        <f>C199/100*76.04/7.167</f>
        <v>76.040000000000006</v>
      </c>
      <c r="H199" s="11">
        <f t="shared" si="9"/>
        <v>0</v>
      </c>
      <c r="I199" s="70"/>
      <c r="J199" s="70"/>
      <c r="K199" s="70">
        <f>C199/100*4.95/7.167</f>
        <v>4.9500000000000011</v>
      </c>
      <c r="L199" s="11">
        <f>C199/100*4.52/7.167</f>
        <v>4.5200000000000005</v>
      </c>
      <c r="M199" s="19" t="s">
        <v>753</v>
      </c>
    </row>
    <row r="200" spans="2:13">
      <c r="B200" s="104" t="s">
        <v>900</v>
      </c>
      <c r="C200" s="4">
        <v>100</v>
      </c>
      <c r="D200" s="5">
        <f>C200/100*185</f>
        <v>185</v>
      </c>
      <c r="E200" s="11">
        <f>C200/100*5.06</f>
        <v>5.0599999999999996</v>
      </c>
      <c r="F200" s="11">
        <f>C200/100*4.6</f>
        <v>4.5999999999999996</v>
      </c>
      <c r="G200" s="11">
        <f>C200/100*28.22</f>
        <v>28.22</v>
      </c>
      <c r="H200" s="11">
        <f t="shared" si="9"/>
        <v>0</v>
      </c>
      <c r="I200" s="70"/>
      <c r="J200" s="70"/>
      <c r="K200" s="70">
        <f>C200/100*0.18</f>
        <v>0.18</v>
      </c>
      <c r="L200" s="11">
        <f>C200/100*0.9386781</f>
        <v>0.93867809999999996</v>
      </c>
      <c r="M200" s="19" t="s">
        <v>751</v>
      </c>
    </row>
    <row r="201" spans="2:13">
      <c r="B201" s="81" t="s">
        <v>143</v>
      </c>
      <c r="C201" s="4">
        <v>100</v>
      </c>
      <c r="D201" s="5">
        <f>C201/100*154</f>
        <v>154</v>
      </c>
      <c r="E201" s="11">
        <f>C201/100*2.4</f>
        <v>2.4</v>
      </c>
      <c r="F201" s="11">
        <f>C201/100*0.2</f>
        <v>0.2</v>
      </c>
      <c r="G201" s="11">
        <f>C201/100*74.1</f>
        <v>74.099999999999994</v>
      </c>
      <c r="H201" s="11">
        <f t="shared" si="9"/>
        <v>0</v>
      </c>
      <c r="I201" s="70"/>
      <c r="J201" s="70"/>
      <c r="K201" s="70">
        <f>C201/100*74.1</f>
        <v>74.099999999999994</v>
      </c>
      <c r="L201" s="70">
        <f>C201/100*0.3</f>
        <v>0.3</v>
      </c>
      <c r="M201" s="3">
        <v>6</v>
      </c>
    </row>
    <row r="202" spans="2:13">
      <c r="B202" s="104" t="s">
        <v>144</v>
      </c>
      <c r="C202" s="4">
        <v>100</v>
      </c>
      <c r="D202" s="5">
        <f>C202/100*357</f>
        <v>357</v>
      </c>
      <c r="E202" s="11">
        <f>C202/100*5.1</f>
        <v>5.0999999999999996</v>
      </c>
      <c r="F202" s="11">
        <f>C202/100*8.7</f>
        <v>8.6999999999999993</v>
      </c>
      <c r="G202" s="11">
        <f>C202/100*64.6</f>
        <v>64.599999999999994</v>
      </c>
      <c r="H202" s="11">
        <f t="shared" si="9"/>
        <v>0</v>
      </c>
      <c r="I202" s="70">
        <f>C202/100*0.3</f>
        <v>0.3</v>
      </c>
      <c r="J202" s="70">
        <f>C202/100*2.3</f>
        <v>2.2999999999999998</v>
      </c>
      <c r="K202" s="70">
        <f>C202/100*2.6</f>
        <v>2.6</v>
      </c>
      <c r="L202" s="11">
        <f>C202/100*0.1</f>
        <v>0.1</v>
      </c>
      <c r="M202" s="19" t="s">
        <v>751</v>
      </c>
    </row>
    <row r="203" spans="2:13">
      <c r="B203" s="104" t="s">
        <v>145</v>
      </c>
      <c r="C203" s="4">
        <v>31</v>
      </c>
      <c r="D203" s="5">
        <f>C203/100*155/0.31</f>
        <v>155</v>
      </c>
      <c r="E203" s="11">
        <f>C203/100*3.1/0.31</f>
        <v>3.1</v>
      </c>
      <c r="F203" s="11">
        <f>C203/100*7/0.31</f>
        <v>7</v>
      </c>
      <c r="G203" s="11">
        <f>C203/100*19.8/0.31</f>
        <v>19.8</v>
      </c>
      <c r="H203" s="11">
        <f t="shared" si="9"/>
        <v>0</v>
      </c>
      <c r="I203" s="70"/>
      <c r="J203" s="70"/>
      <c r="K203" s="70"/>
      <c r="L203" s="11">
        <f>C203/100*0.6/0.31</f>
        <v>0.6</v>
      </c>
      <c r="M203" s="19" t="s">
        <v>751</v>
      </c>
    </row>
    <row r="204" spans="2:13">
      <c r="B204" s="104" t="s">
        <v>146</v>
      </c>
      <c r="C204" s="4">
        <v>20</v>
      </c>
      <c r="D204" s="5">
        <f>C204/100*130/0.2</f>
        <v>130</v>
      </c>
      <c r="E204" s="11">
        <f>C204/100*3.5/0.2</f>
        <v>3.5</v>
      </c>
      <c r="F204" s="11">
        <f>C204/100*9.9/0.2</f>
        <v>9.9</v>
      </c>
      <c r="G204" s="11">
        <f>C204/100*5.7/0.2</f>
        <v>5.7</v>
      </c>
      <c r="H204" s="11">
        <f t="shared" si="9"/>
        <v>0</v>
      </c>
      <c r="I204" s="70"/>
      <c r="J204" s="70"/>
      <c r="K204" s="70"/>
      <c r="L204" s="70"/>
      <c r="M204" s="3">
        <v>5</v>
      </c>
    </row>
    <row r="205" spans="2:13">
      <c r="B205" s="104" t="s">
        <v>147</v>
      </c>
      <c r="C205" s="4">
        <v>100</v>
      </c>
      <c r="D205" s="5">
        <f>C205/100*630</f>
        <v>630</v>
      </c>
      <c r="E205" s="11">
        <f>C205/100*17.5</f>
        <v>17.5</v>
      </c>
      <c r="F205" s="11">
        <f>C205/100*49.5</f>
        <v>49.5</v>
      </c>
      <c r="G205" s="11">
        <f>C205/100*28.5</f>
        <v>28.5</v>
      </c>
      <c r="H205" s="11">
        <f t="shared" si="9"/>
        <v>0</v>
      </c>
      <c r="I205" s="70"/>
      <c r="J205" s="70"/>
      <c r="K205" s="70"/>
      <c r="L205" s="11">
        <f>C205/100*0.043216057</f>
        <v>4.3216057000000002E-2</v>
      </c>
      <c r="M205" s="3">
        <v>5</v>
      </c>
    </row>
    <row r="206" spans="2:13">
      <c r="B206" s="104" t="s">
        <v>977</v>
      </c>
      <c r="C206" s="85">
        <v>100</v>
      </c>
      <c r="D206" s="5">
        <f>C206/100*236</f>
        <v>236</v>
      </c>
      <c r="E206" s="11">
        <f>C206/100*6.67</f>
        <v>6.67</v>
      </c>
      <c r="F206" s="11">
        <f>C206/100*6.68</f>
        <v>6.68</v>
      </c>
      <c r="G206" s="11">
        <f>C206/100*35.87</f>
        <v>35.869999999999997</v>
      </c>
      <c r="H206" s="11">
        <f t="shared" si="9"/>
        <v>0</v>
      </c>
      <c r="I206" s="70"/>
      <c r="J206" s="70"/>
      <c r="K206" s="70">
        <f>C206/100*0.96</f>
        <v>0.96</v>
      </c>
      <c r="L206" s="11">
        <f>C206/100*0.4438289</f>
        <v>0.44382890000000003</v>
      </c>
      <c r="M206" s="19" t="s">
        <v>751</v>
      </c>
    </row>
    <row r="207" spans="2:13">
      <c r="B207" s="103" t="s">
        <v>148</v>
      </c>
      <c r="C207" s="4">
        <v>100</v>
      </c>
      <c r="D207" s="5">
        <f>C207/100*319</f>
        <v>319</v>
      </c>
      <c r="E207" s="11">
        <f>C207/100*6.2</f>
        <v>6.2</v>
      </c>
      <c r="F207" s="11">
        <f>C207/100*4.6</f>
        <v>4.5999999999999996</v>
      </c>
      <c r="G207" s="11">
        <f>C207/100*63.2</f>
        <v>63.2</v>
      </c>
      <c r="H207" s="11">
        <f>C207/100*160</f>
        <v>160</v>
      </c>
      <c r="I207" s="70">
        <f>C207/100*0.4</f>
        <v>0.4</v>
      </c>
      <c r="J207" s="70">
        <f>C207/100*0.2</f>
        <v>0.2</v>
      </c>
      <c r="K207" s="70">
        <f>C207/100*0.6</f>
        <v>0.6</v>
      </c>
      <c r="L207" s="70">
        <f>C207/100*0.1</f>
        <v>0.1</v>
      </c>
      <c r="M207" s="19" t="s">
        <v>751</v>
      </c>
    </row>
    <row r="208" spans="2:13">
      <c r="B208" s="104" t="s">
        <v>149</v>
      </c>
      <c r="C208" s="4">
        <v>100</v>
      </c>
      <c r="D208" s="5">
        <f>C208/100*89</f>
        <v>89</v>
      </c>
      <c r="E208" s="11">
        <f>C208/100*15</f>
        <v>15</v>
      </c>
      <c r="F208" s="11">
        <f>C208/100*3</f>
        <v>3</v>
      </c>
      <c r="G208" s="11">
        <f>C208/100*0.6</f>
        <v>0.6</v>
      </c>
      <c r="H208" s="11">
        <f>C208/100*230</f>
        <v>230</v>
      </c>
      <c r="I208" s="70"/>
      <c r="J208" s="70"/>
      <c r="K208" s="70"/>
      <c r="L208" s="70">
        <f>C208/100*1.220218</f>
        <v>1.220218</v>
      </c>
      <c r="M208" s="3">
        <v>3</v>
      </c>
    </row>
    <row r="209" spans="2:13">
      <c r="B209" s="104" t="s">
        <v>1098</v>
      </c>
      <c r="C209" s="4">
        <v>100</v>
      </c>
      <c r="D209" s="5">
        <f>C209/100*104.46</f>
        <v>104.46</v>
      </c>
      <c r="E209" s="11">
        <f>C209/100*23.75</f>
        <v>23.75</v>
      </c>
      <c r="F209" s="11">
        <f>C209/100*0.37</f>
        <v>0.37</v>
      </c>
      <c r="G209" s="11">
        <f>C209/100*0.12</f>
        <v>0.12</v>
      </c>
      <c r="H209" s="11">
        <f>C209/100*99</f>
        <v>99</v>
      </c>
      <c r="I209" s="70"/>
      <c r="J209" s="70"/>
      <c r="K209" s="70"/>
      <c r="L209" s="11">
        <f>C209/100*0.87</f>
        <v>0.87</v>
      </c>
      <c r="M209" s="3">
        <v>3</v>
      </c>
    </row>
    <row r="210" spans="2:13">
      <c r="B210" s="104" t="s">
        <v>150</v>
      </c>
      <c r="C210" s="4">
        <v>100</v>
      </c>
      <c r="D210" s="5">
        <f>C210/100*84</f>
        <v>84</v>
      </c>
      <c r="E210" s="11">
        <f>C210/100*19.1</f>
        <v>19.100000000000001</v>
      </c>
      <c r="F210" s="11">
        <f>C210/100*0.3</f>
        <v>0.3</v>
      </c>
      <c r="G210" s="11">
        <f>C210/100*0.1</f>
        <v>0.1</v>
      </c>
      <c r="H210" s="11">
        <f>C210/100*80</f>
        <v>80</v>
      </c>
      <c r="I210" s="70"/>
      <c r="J210" s="70"/>
      <c r="K210" s="70"/>
      <c r="L210" s="70">
        <f>C210/100*0.7</f>
        <v>0.7</v>
      </c>
      <c r="M210" s="3">
        <v>3</v>
      </c>
    </row>
    <row r="211" spans="2:13">
      <c r="B211" s="104" t="s">
        <v>151</v>
      </c>
      <c r="C211" s="4">
        <v>100</v>
      </c>
      <c r="D211" s="5">
        <f>C211/100*330</f>
        <v>330</v>
      </c>
      <c r="E211" s="11">
        <f>C211/100*0.1</f>
        <v>0.1</v>
      </c>
      <c r="F211" s="11">
        <f>C211/100*0.1</f>
        <v>0.1</v>
      </c>
      <c r="G211" s="11">
        <f>C211/100*81.6</f>
        <v>81.599999999999994</v>
      </c>
      <c r="H211" s="11">
        <f>C211/100*0</f>
        <v>0</v>
      </c>
      <c r="I211" s="70"/>
      <c r="J211" s="70"/>
      <c r="K211" s="70"/>
      <c r="L211" s="70">
        <f>C211/100*0.0050842</f>
        <v>5.0841999999999997E-3</v>
      </c>
      <c r="M211" s="3">
        <v>1</v>
      </c>
    </row>
    <row r="212" spans="2:13">
      <c r="B212" s="104" t="s">
        <v>152</v>
      </c>
      <c r="C212" s="4">
        <v>100</v>
      </c>
      <c r="D212" s="5">
        <f>C212/100*330</f>
        <v>330</v>
      </c>
      <c r="E212" s="11">
        <f>C212/100*0.1</f>
        <v>0.1</v>
      </c>
      <c r="F212" s="11">
        <f>C212/100*0.1</f>
        <v>0.1</v>
      </c>
      <c r="G212" s="11">
        <f>C212/100*81.6</f>
        <v>81.599999999999994</v>
      </c>
      <c r="H212" s="11">
        <f>C212/100*0</f>
        <v>0</v>
      </c>
      <c r="I212" s="70"/>
      <c r="J212" s="70"/>
      <c r="K212" s="70"/>
      <c r="L212" s="70">
        <f>C212/100*0.0050842</f>
        <v>5.0841999999999997E-3</v>
      </c>
      <c r="M212" s="3">
        <v>1</v>
      </c>
    </row>
    <row r="213" spans="2:13">
      <c r="B213" s="104" t="s">
        <v>153</v>
      </c>
      <c r="C213" s="4">
        <v>100</v>
      </c>
      <c r="D213" s="5">
        <f>C213/100*165</f>
        <v>165</v>
      </c>
      <c r="E213" s="11">
        <f>C213/100*25</f>
        <v>25</v>
      </c>
      <c r="F213" s="11">
        <f>C213/100*6.2</f>
        <v>6.2</v>
      </c>
      <c r="G213" s="11">
        <f>C213/100*0.2</f>
        <v>0.2</v>
      </c>
      <c r="H213" s="11">
        <f>C213/100*58</f>
        <v>58</v>
      </c>
      <c r="I213" s="70"/>
      <c r="J213" s="70"/>
      <c r="K213" s="70"/>
      <c r="L213" s="70">
        <f>C213/100*0.1</f>
        <v>0.1</v>
      </c>
      <c r="M213" s="3">
        <v>3</v>
      </c>
    </row>
    <row r="214" spans="2:13">
      <c r="B214" s="104" t="s">
        <v>154</v>
      </c>
      <c r="C214" s="4">
        <v>100</v>
      </c>
      <c r="D214" s="5">
        <f>C214/100*356</f>
        <v>356</v>
      </c>
      <c r="E214" s="11">
        <f>C214/100*77.1</f>
        <v>77.099999999999994</v>
      </c>
      <c r="F214" s="11">
        <f>C214/100*2.9</f>
        <v>2.9</v>
      </c>
      <c r="G214" s="11">
        <f>C214/100*0.8</f>
        <v>0.8</v>
      </c>
      <c r="H214" s="11">
        <f>C214/100*180</f>
        <v>180</v>
      </c>
      <c r="I214" s="70">
        <f>C214/100*0</f>
        <v>0</v>
      </c>
      <c r="J214" s="70">
        <f>C214/100*0</f>
        <v>0</v>
      </c>
      <c r="K214" s="70">
        <f>C214/100*0</f>
        <v>0</v>
      </c>
      <c r="L214" s="11">
        <f>C214/100*0.3</f>
        <v>0.3</v>
      </c>
      <c r="M214" s="3">
        <v>3</v>
      </c>
    </row>
    <row r="215" spans="2:13">
      <c r="B215" s="104" t="s">
        <v>155</v>
      </c>
      <c r="C215" s="4">
        <v>100</v>
      </c>
      <c r="D215" s="5">
        <f>C215/100*351</f>
        <v>351</v>
      </c>
      <c r="E215" s="11">
        <f>C215/100*75.7</f>
        <v>75.7</v>
      </c>
      <c r="F215" s="11">
        <f>C215/100*3.2</f>
        <v>3.2</v>
      </c>
      <c r="G215" s="11">
        <f>C215/100*0.4</f>
        <v>0.4</v>
      </c>
      <c r="H215" s="11">
        <f>C215/100*190</f>
        <v>190</v>
      </c>
      <c r="I215" s="70">
        <f>C215/100*0</f>
        <v>0</v>
      </c>
      <c r="J215" s="70">
        <f>C215/100*0</f>
        <v>0</v>
      </c>
      <c r="K215" s="70">
        <f>C215/100*0</f>
        <v>0</v>
      </c>
      <c r="L215" s="11">
        <f>C215/100*1.2</f>
        <v>1.2</v>
      </c>
      <c r="M215" s="3">
        <v>3</v>
      </c>
    </row>
    <row r="216" spans="2:13">
      <c r="B216" s="104" t="s">
        <v>156</v>
      </c>
      <c r="C216" s="4">
        <v>100</v>
      </c>
      <c r="D216" s="5">
        <f>C216/100*114</f>
        <v>114</v>
      </c>
      <c r="E216" s="11">
        <f>C216/100*25.8</f>
        <v>25.8</v>
      </c>
      <c r="F216" s="11">
        <f>C216/100*0.5</f>
        <v>0.5</v>
      </c>
      <c r="G216" s="11">
        <f>C216/100*0.1</f>
        <v>0.1</v>
      </c>
      <c r="H216" s="11">
        <f>C216/100*60</f>
        <v>60</v>
      </c>
      <c r="I216" s="70"/>
      <c r="J216" s="70"/>
      <c r="K216" s="70"/>
      <c r="L216" s="70">
        <f>C216/100*0.1</f>
        <v>0.1</v>
      </c>
      <c r="M216" s="3">
        <v>3</v>
      </c>
    </row>
    <row r="217" spans="2:13">
      <c r="B217" s="104" t="s">
        <v>839</v>
      </c>
      <c r="C217" s="4">
        <v>100</v>
      </c>
      <c r="D217" s="5">
        <f>C217/100*3</f>
        <v>3</v>
      </c>
      <c r="E217" s="11">
        <f>C217/100*0.5</f>
        <v>0.5</v>
      </c>
      <c r="F217" s="11">
        <f>C217/100*0.1</f>
        <v>0.1</v>
      </c>
      <c r="G217" s="11">
        <f>C217/100*0</f>
        <v>0</v>
      </c>
      <c r="H217" s="11">
        <f>C217/100*0</f>
        <v>0</v>
      </c>
      <c r="I217" s="70"/>
      <c r="J217" s="70"/>
      <c r="K217" s="70"/>
      <c r="L217" s="11">
        <f>C217/100*0.0508424</f>
        <v>5.0842400000000003E-2</v>
      </c>
      <c r="M217" s="3">
        <v>3</v>
      </c>
    </row>
    <row r="218" spans="2:13">
      <c r="B218" s="81" t="s">
        <v>1073</v>
      </c>
      <c r="C218" s="4">
        <v>100</v>
      </c>
      <c r="D218" s="5">
        <f>C218/100*200</f>
        <v>200</v>
      </c>
      <c r="E218" s="11">
        <f>C218/100*6.12</f>
        <v>6.12</v>
      </c>
      <c r="F218" s="11">
        <f>C218/100*6.57</f>
        <v>6.57</v>
      </c>
      <c r="G218" s="11">
        <f>C218/100*26.95</f>
        <v>26.95</v>
      </c>
      <c r="H218" s="11">
        <f>C218/100*0</f>
        <v>0</v>
      </c>
      <c r="I218" s="70"/>
      <c r="J218" s="70"/>
      <c r="K218" s="70">
        <f>C218/100*0.34</f>
        <v>0.34</v>
      </c>
      <c r="L218" s="11">
        <f>C218/100*0.7524169</f>
        <v>0.75241690000000006</v>
      </c>
      <c r="M218" s="3" t="s">
        <v>754</v>
      </c>
    </row>
    <row r="219" spans="2:13">
      <c r="B219" s="104" t="s">
        <v>157</v>
      </c>
      <c r="C219" s="4">
        <v>100</v>
      </c>
      <c r="D219" s="5">
        <f>C219/100*72</f>
        <v>72</v>
      </c>
      <c r="E219" s="11">
        <f>C219/100*15.8</f>
        <v>15.8</v>
      </c>
      <c r="F219" s="11">
        <f>C219/100*0.5</f>
        <v>0.5</v>
      </c>
      <c r="G219" s="11">
        <f>C219/100*0.2</f>
        <v>0.2</v>
      </c>
      <c r="H219" s="11">
        <f>C219/100*47</f>
        <v>47</v>
      </c>
      <c r="I219" s="70"/>
      <c r="J219" s="70"/>
      <c r="K219" s="70"/>
      <c r="L219" s="11">
        <f>C219/100*0.56</f>
        <v>0.56000000000000005</v>
      </c>
      <c r="M219" s="3">
        <v>3</v>
      </c>
    </row>
    <row r="220" spans="2:13">
      <c r="B220" s="104" t="s">
        <v>158</v>
      </c>
      <c r="C220" s="4">
        <v>100</v>
      </c>
      <c r="D220" s="5">
        <f>C220/100*83</f>
        <v>83</v>
      </c>
      <c r="E220" s="11">
        <f>C220/100*18.4</f>
        <v>18.399999999999999</v>
      </c>
      <c r="F220" s="11">
        <f>C220/100*0.5</f>
        <v>0.5</v>
      </c>
      <c r="G220" s="11">
        <f>C220/100*0.2</f>
        <v>0.2</v>
      </c>
      <c r="H220" s="11">
        <f>C220/100*63</f>
        <v>63</v>
      </c>
      <c r="I220" s="70"/>
      <c r="J220" s="70"/>
      <c r="K220" s="70"/>
      <c r="L220" s="70">
        <f>C220/100*0.6</f>
        <v>0.6</v>
      </c>
      <c r="M220" s="3">
        <v>3</v>
      </c>
    </row>
    <row r="221" spans="2:13">
      <c r="B221" s="104" t="s">
        <v>159</v>
      </c>
      <c r="C221" s="4">
        <v>100</v>
      </c>
      <c r="D221" s="5">
        <f>C221/100*63</f>
        <v>63</v>
      </c>
      <c r="E221" s="11">
        <f>C221/100*13.9</f>
        <v>13.9</v>
      </c>
      <c r="F221" s="11">
        <f>C221/100*0.4</f>
        <v>0.4</v>
      </c>
      <c r="G221" s="11">
        <f>C221/100*0.1</f>
        <v>0.1</v>
      </c>
      <c r="H221" s="11">
        <f>C221/100*44</f>
        <v>44</v>
      </c>
      <c r="I221" s="70"/>
      <c r="J221" s="70"/>
      <c r="K221" s="70"/>
      <c r="L221" s="70">
        <f>C221/100*0.8</f>
        <v>0.8</v>
      </c>
      <c r="M221" s="3">
        <v>3</v>
      </c>
    </row>
    <row r="222" spans="2:13">
      <c r="B222" s="104" t="s">
        <v>160</v>
      </c>
      <c r="C222" s="4">
        <v>100</v>
      </c>
      <c r="D222" s="5">
        <f>C222/100*73</f>
        <v>73</v>
      </c>
      <c r="E222" s="11">
        <f>C222/100*16.3</f>
        <v>16.3</v>
      </c>
      <c r="F222" s="11">
        <f>C222/100*0.4</f>
        <v>0.4</v>
      </c>
      <c r="G222" s="11">
        <f>C222/100*0.2</f>
        <v>0.2</v>
      </c>
      <c r="H222" s="11">
        <f>C222/100*70</f>
        <v>70</v>
      </c>
      <c r="I222" s="70"/>
      <c r="J222" s="70"/>
      <c r="K222" s="70"/>
      <c r="L222" s="11">
        <f>C222/100*1.7</f>
        <v>1.7</v>
      </c>
      <c r="M222" s="3">
        <v>3</v>
      </c>
    </row>
    <row r="223" spans="2:13">
      <c r="B223" s="104" t="s">
        <v>161</v>
      </c>
      <c r="C223" s="4">
        <v>100</v>
      </c>
      <c r="D223" s="5">
        <f>C223/100*69</f>
        <v>69</v>
      </c>
      <c r="E223" s="11">
        <f>C223/100*15</f>
        <v>15</v>
      </c>
      <c r="F223" s="11">
        <f>C223/100*0.6</f>
        <v>0.6</v>
      </c>
      <c r="G223" s="11">
        <f>C223/100*0.1</f>
        <v>0.1</v>
      </c>
      <c r="H223" s="11">
        <f>C223/100*61</f>
        <v>61</v>
      </c>
      <c r="I223" s="70"/>
      <c r="J223" s="70"/>
      <c r="K223" s="70"/>
      <c r="L223" s="70">
        <f>C223/100*0.6</f>
        <v>0.6</v>
      </c>
      <c r="M223" s="3">
        <v>3</v>
      </c>
    </row>
    <row r="224" spans="2:13">
      <c r="B224" s="104" t="s">
        <v>162</v>
      </c>
      <c r="C224" s="4">
        <v>100</v>
      </c>
      <c r="D224" s="5">
        <f>C224/100*58</f>
        <v>58</v>
      </c>
      <c r="E224" s="11">
        <f>C224/100*13</f>
        <v>13</v>
      </c>
      <c r="F224" s="11">
        <f>C224/100*0.3</f>
        <v>0.3</v>
      </c>
      <c r="G224" s="11">
        <f>C224/100*0.2</f>
        <v>0.2</v>
      </c>
      <c r="H224" s="11">
        <f>C224/100*34</f>
        <v>34</v>
      </c>
      <c r="I224" s="70"/>
      <c r="J224" s="70"/>
      <c r="K224" s="70"/>
      <c r="L224" s="11">
        <f>C224/100*0.86</f>
        <v>0.86</v>
      </c>
      <c r="M224" s="3">
        <v>3</v>
      </c>
    </row>
    <row r="225" spans="2:13">
      <c r="B225" s="104" t="s">
        <v>163</v>
      </c>
      <c r="C225" s="4">
        <v>100</v>
      </c>
      <c r="D225" s="5">
        <f>C225/100*90</f>
        <v>90</v>
      </c>
      <c r="E225" s="11">
        <f>C225/100*20.6</f>
        <v>20.6</v>
      </c>
      <c r="F225" s="11">
        <f>C225/100*0.3</f>
        <v>0.3</v>
      </c>
      <c r="G225" s="11">
        <f>C225/100*0.1</f>
        <v>0.1</v>
      </c>
      <c r="H225" s="11">
        <f>C225/100*60</f>
        <v>60</v>
      </c>
      <c r="I225" s="70"/>
      <c r="J225" s="70"/>
      <c r="K225" s="70"/>
      <c r="L225" s="11">
        <f>C225/100*1.47</f>
        <v>1.47</v>
      </c>
      <c r="M225" s="3">
        <v>3</v>
      </c>
    </row>
    <row r="226" spans="2:13">
      <c r="B226" s="106" t="s">
        <v>164</v>
      </c>
      <c r="C226" s="4">
        <v>100</v>
      </c>
      <c r="D226" s="5">
        <f>C226/100*80</f>
        <v>80</v>
      </c>
      <c r="E226" s="11">
        <f>C226/100*17.5</f>
        <v>17.5</v>
      </c>
      <c r="F226" s="11">
        <f>C226/100*0.5</f>
        <v>0.5</v>
      </c>
      <c r="G226" s="11">
        <f>C226/100*0.3</f>
        <v>0.3</v>
      </c>
      <c r="H226" s="11">
        <f>C226/100*53</f>
        <v>53</v>
      </c>
      <c r="I226" s="70"/>
      <c r="J226" s="70"/>
      <c r="K226" s="70"/>
      <c r="L226" s="70">
        <f>C226/100*0.8</f>
        <v>0.8</v>
      </c>
      <c r="M226" s="3">
        <v>3</v>
      </c>
    </row>
    <row r="227" spans="2:13">
      <c r="B227" s="104" t="s">
        <v>165</v>
      </c>
      <c r="C227" s="4">
        <v>12.5</v>
      </c>
      <c r="D227" s="5">
        <f>C227/100*11/0.125</f>
        <v>11</v>
      </c>
      <c r="E227" s="11">
        <f>C227/100*1.4/0.125</f>
        <v>1.4</v>
      </c>
      <c r="F227" s="11">
        <f>C227/100*0.1/0.125</f>
        <v>0.1</v>
      </c>
      <c r="G227" s="11">
        <f>C227/100*1.2/0.125</f>
        <v>1.2</v>
      </c>
      <c r="H227" s="11">
        <f>C227/100*2.1/0.125</f>
        <v>2.1</v>
      </c>
      <c r="I227" s="70"/>
      <c r="J227" s="70"/>
      <c r="K227" s="70"/>
      <c r="L227" s="70"/>
      <c r="M227" s="3">
        <v>3</v>
      </c>
    </row>
    <row r="228" spans="2:13">
      <c r="B228" s="104" t="s">
        <v>166</v>
      </c>
      <c r="C228" s="4">
        <v>54</v>
      </c>
      <c r="D228" s="5">
        <f>C228/100*46/0.54</f>
        <v>46</v>
      </c>
      <c r="E228" s="11">
        <f>C228/100*5.9/0.54</f>
        <v>5.9</v>
      </c>
      <c r="F228" s="11">
        <f>C228/100*0.3/0.54</f>
        <v>0.3</v>
      </c>
      <c r="G228" s="11">
        <f>C228/100*5/0.54</f>
        <v>5</v>
      </c>
      <c r="H228" s="11">
        <f>C228/100*9.2/0.54</f>
        <v>9.1999999999999993</v>
      </c>
      <c r="I228" s="70"/>
      <c r="J228" s="70"/>
      <c r="K228" s="70"/>
      <c r="L228" s="11">
        <f>C228/100*1.1185/0.54</f>
        <v>1.1185</v>
      </c>
      <c r="M228" s="3">
        <v>3</v>
      </c>
    </row>
    <row r="229" spans="2:13">
      <c r="B229" s="104" t="s">
        <v>167</v>
      </c>
      <c r="C229" s="4">
        <v>100</v>
      </c>
      <c r="D229" s="5">
        <f>C229/100*90</f>
        <v>90</v>
      </c>
      <c r="E229" s="11">
        <f>C229/100*13.1</f>
        <v>13.1</v>
      </c>
      <c r="F229" s="11">
        <f>C229/100*1.1</f>
        <v>1.1000000000000001</v>
      </c>
      <c r="G229" s="11">
        <f>C229/100*7</f>
        <v>7</v>
      </c>
      <c r="H229" s="11">
        <f>C229/100*15</f>
        <v>15</v>
      </c>
      <c r="I229" s="70"/>
      <c r="J229" s="70"/>
      <c r="K229" s="70"/>
      <c r="L229" s="11">
        <f>C229/100*1.6</f>
        <v>1.6</v>
      </c>
      <c r="M229" s="3">
        <v>3</v>
      </c>
    </row>
    <row r="230" spans="2:13">
      <c r="B230" s="104" t="s">
        <v>832</v>
      </c>
      <c r="C230" s="4">
        <v>52</v>
      </c>
      <c r="D230" s="5">
        <f>C230/100*42/0.52</f>
        <v>42</v>
      </c>
      <c r="E230" s="11">
        <f>C230/100*4.9/0.52</f>
        <v>4.9000000000000004</v>
      </c>
      <c r="F230" s="11">
        <f>C230/100*0.4/0.52</f>
        <v>0.4</v>
      </c>
      <c r="G230" s="11">
        <f>C230/100*4.7/0.52</f>
        <v>4.7</v>
      </c>
      <c r="H230" s="11">
        <f>C230/100*8.8/0.52</f>
        <v>8.8000000000000007</v>
      </c>
      <c r="I230" s="70"/>
      <c r="J230" s="70"/>
      <c r="K230" s="70"/>
      <c r="L230" s="11">
        <f>C230/100*0.693999/0.52</f>
        <v>0.69399900000000003</v>
      </c>
      <c r="M230" s="3">
        <v>3</v>
      </c>
    </row>
    <row r="231" spans="2:13">
      <c r="B231" s="104" t="s">
        <v>168</v>
      </c>
      <c r="C231" s="4">
        <v>100</v>
      </c>
      <c r="D231" s="5">
        <f>C231/100*20</f>
        <v>20</v>
      </c>
      <c r="E231" s="11">
        <f>C231/100*0.7</f>
        <v>0.7</v>
      </c>
      <c r="F231" s="11">
        <f>C231/100*0.1</f>
        <v>0.1</v>
      </c>
      <c r="G231" s="11">
        <f>C231/100*4.6</f>
        <v>4.5999999999999996</v>
      </c>
      <c r="H231" s="11">
        <f t="shared" ref="H231:H236" si="10">C231/100*0</f>
        <v>0</v>
      </c>
      <c r="I231" s="70">
        <f>C231/100*0.3</f>
        <v>0.3</v>
      </c>
      <c r="J231" s="70">
        <f>C231/100*1.2</f>
        <v>1.2</v>
      </c>
      <c r="K231" s="70">
        <f>C231/100*1.5</f>
        <v>1.5</v>
      </c>
      <c r="L231" s="70">
        <f t="shared" ref="L231:L236" si="11">C231/100*0</f>
        <v>0</v>
      </c>
      <c r="M231" s="3">
        <v>6</v>
      </c>
    </row>
    <row r="232" spans="2:13">
      <c r="B232" s="104" t="s">
        <v>169</v>
      </c>
      <c r="C232" s="4">
        <v>100</v>
      </c>
      <c r="D232" s="5">
        <f>C232/100*21</f>
        <v>21</v>
      </c>
      <c r="E232" s="11">
        <f>C232/100*0.6</f>
        <v>0.6</v>
      </c>
      <c r="F232" s="11">
        <f>C232/100*0.1</f>
        <v>0.1</v>
      </c>
      <c r="G232" s="11">
        <f>C232/100*4.8</f>
        <v>4.8</v>
      </c>
      <c r="H232" s="11">
        <f t="shared" si="10"/>
        <v>0</v>
      </c>
      <c r="I232" s="70">
        <f>C232/100*0.3</f>
        <v>0.3</v>
      </c>
      <c r="J232" s="70">
        <f>C232/100*1.1</f>
        <v>1.1000000000000001</v>
      </c>
      <c r="K232" s="70">
        <f>C232/100*1.4</f>
        <v>1.4</v>
      </c>
      <c r="L232" s="70">
        <f t="shared" si="11"/>
        <v>0</v>
      </c>
      <c r="M232" s="3">
        <v>6</v>
      </c>
    </row>
    <row r="233" spans="2:13">
      <c r="B233" s="104" t="s">
        <v>1021</v>
      </c>
      <c r="C233" s="4">
        <v>100</v>
      </c>
      <c r="D233" s="5">
        <f>C233/100*20</f>
        <v>20</v>
      </c>
      <c r="E233" s="11">
        <f>C233/100*2.3</f>
        <v>2.2999999999999998</v>
      </c>
      <c r="F233" s="11">
        <f>C233/100*0.1</f>
        <v>0.1</v>
      </c>
      <c r="G233" s="11">
        <f>C233/100*3.9</f>
        <v>3.9</v>
      </c>
      <c r="H233" s="11">
        <f t="shared" si="10"/>
        <v>0</v>
      </c>
      <c r="I233" s="70">
        <f>C233/100*0.3</f>
        <v>0.3</v>
      </c>
      <c r="J233" s="70">
        <f>C233/100*2.6</f>
        <v>2.6</v>
      </c>
      <c r="K233" s="70">
        <f>C233/100*2.9</f>
        <v>2.9</v>
      </c>
      <c r="L233" s="70">
        <f t="shared" si="11"/>
        <v>0</v>
      </c>
      <c r="M233" s="3">
        <v>6</v>
      </c>
    </row>
    <row r="234" spans="2:13">
      <c r="B234" s="81" t="s">
        <v>170</v>
      </c>
      <c r="C234" s="4">
        <v>100</v>
      </c>
      <c r="D234" s="5">
        <f>C234/100*91</f>
        <v>91</v>
      </c>
      <c r="E234" s="11">
        <f>C234/100*1.9</f>
        <v>1.9</v>
      </c>
      <c r="F234" s="11">
        <f>C234/100*0.3</f>
        <v>0.3</v>
      </c>
      <c r="G234" s="11">
        <f>C234/100*20.5</f>
        <v>20.5</v>
      </c>
      <c r="H234" s="11">
        <f t="shared" si="10"/>
        <v>0</v>
      </c>
      <c r="I234" s="70">
        <f>C234/100*0.9</f>
        <v>0.9</v>
      </c>
      <c r="J234" s="70">
        <f>C234/100*2.6</f>
        <v>2.6</v>
      </c>
      <c r="K234" s="70">
        <f>C234/100*3.5</f>
        <v>3.5</v>
      </c>
      <c r="L234" s="70">
        <f t="shared" si="11"/>
        <v>0</v>
      </c>
      <c r="M234" s="3">
        <v>1</v>
      </c>
    </row>
    <row r="235" spans="2:13">
      <c r="B235" s="81" t="s">
        <v>171</v>
      </c>
      <c r="C235" s="4">
        <v>100</v>
      </c>
      <c r="D235" s="5">
        <f>C235/100*91</f>
        <v>91</v>
      </c>
      <c r="E235" s="11">
        <f>C235/100*1.9</f>
        <v>1.9</v>
      </c>
      <c r="F235" s="11">
        <f>C235/100*0.3</f>
        <v>0.3</v>
      </c>
      <c r="G235" s="11">
        <f>C235/100*20.5</f>
        <v>20.5</v>
      </c>
      <c r="H235" s="11">
        <f t="shared" si="10"/>
        <v>0</v>
      </c>
      <c r="I235" s="70">
        <f>C235/100*0.9</f>
        <v>0.9</v>
      </c>
      <c r="J235" s="70">
        <f>C235/100*2.6</f>
        <v>2.6</v>
      </c>
      <c r="K235" s="70">
        <f>C235/100*3.5</f>
        <v>3.5</v>
      </c>
      <c r="L235" s="70">
        <f t="shared" si="11"/>
        <v>0</v>
      </c>
      <c r="M235" s="3">
        <v>1</v>
      </c>
    </row>
    <row r="236" spans="2:13">
      <c r="B236" s="81" t="s">
        <v>172</v>
      </c>
      <c r="C236" s="4">
        <v>100</v>
      </c>
      <c r="D236" s="5">
        <f>C236/100*93</f>
        <v>93</v>
      </c>
      <c r="E236" s="11">
        <f>C236/100*1.6</f>
        <v>1.6</v>
      </c>
      <c r="F236" s="11">
        <f>C236/100*0.3</f>
        <v>0.3</v>
      </c>
      <c r="G236" s="11">
        <f>C236/100*21.3</f>
        <v>21.3</v>
      </c>
      <c r="H236" s="11">
        <f t="shared" si="10"/>
        <v>0</v>
      </c>
      <c r="I236" s="70">
        <f>C236/100*0.9</f>
        <v>0.9</v>
      </c>
      <c r="J236" s="70">
        <f>C236/100*3.2</f>
        <v>3.2</v>
      </c>
      <c r="K236" s="70">
        <f>C236/100*4.1</f>
        <v>4.0999999999999996</v>
      </c>
      <c r="L236" s="70">
        <f t="shared" si="11"/>
        <v>0</v>
      </c>
      <c r="M236" s="3">
        <v>1</v>
      </c>
    </row>
    <row r="237" spans="2:13">
      <c r="B237" s="81" t="s">
        <v>1256</v>
      </c>
      <c r="C237" s="4">
        <v>100</v>
      </c>
      <c r="D237" s="5">
        <f>C237/100*76</f>
        <v>76</v>
      </c>
      <c r="E237" s="11">
        <f>C237/100*8.5</f>
        <v>8.5</v>
      </c>
      <c r="F237" s="11">
        <f>C237/100*0.3</f>
        <v>0.3</v>
      </c>
      <c r="G237" s="11">
        <f>C237/100*9.8</f>
        <v>9.8000000000000007</v>
      </c>
      <c r="H237" s="11">
        <f>C237/100*15</f>
        <v>15</v>
      </c>
      <c r="I237" s="70"/>
      <c r="J237" s="70"/>
      <c r="K237" s="70"/>
      <c r="L237" s="11">
        <f>C237/100*1.6777998</f>
        <v>1.6777998000000001</v>
      </c>
      <c r="M237" s="19">
        <v>3</v>
      </c>
    </row>
    <row r="238" spans="2:13">
      <c r="B238" s="103" t="s">
        <v>173</v>
      </c>
      <c r="C238" s="4">
        <v>100</v>
      </c>
      <c r="D238" s="5">
        <f>C238/100*95</f>
        <v>95</v>
      </c>
      <c r="E238" s="11">
        <f>C238/100*12</f>
        <v>12</v>
      </c>
      <c r="F238" s="11">
        <f>C238/100*0.9</f>
        <v>0.9</v>
      </c>
      <c r="G238" s="11">
        <f>C238/100*9.7</f>
        <v>9.6999999999999993</v>
      </c>
      <c r="H238" s="11">
        <f>C238/100*15</f>
        <v>15</v>
      </c>
      <c r="I238" s="70"/>
      <c r="J238" s="70"/>
      <c r="K238" s="70"/>
      <c r="L238" s="70">
        <f>C238/100*2.5</f>
        <v>2.5</v>
      </c>
      <c r="M238" s="3">
        <v>3</v>
      </c>
    </row>
    <row r="239" spans="2:13">
      <c r="B239" s="81" t="s">
        <v>1184</v>
      </c>
      <c r="C239" s="4">
        <v>100</v>
      </c>
      <c r="D239" s="5">
        <f>C239/100*95</f>
        <v>95</v>
      </c>
      <c r="E239" s="11">
        <f>C239/100*12</f>
        <v>12</v>
      </c>
      <c r="F239" s="11">
        <f>C239/100*0.9</f>
        <v>0.9</v>
      </c>
      <c r="G239" s="11">
        <f>C239/100*9.7</f>
        <v>9.6999999999999993</v>
      </c>
      <c r="H239" s="11">
        <f>C239/100*15</f>
        <v>15</v>
      </c>
      <c r="I239" s="70"/>
      <c r="J239" s="70"/>
      <c r="K239" s="70"/>
      <c r="L239" s="11">
        <f>C239/100*2.2</f>
        <v>2.2000000000000002</v>
      </c>
      <c r="M239" s="3">
        <v>3</v>
      </c>
    </row>
    <row r="240" spans="2:13">
      <c r="B240" s="81" t="s">
        <v>174</v>
      </c>
      <c r="C240" s="4">
        <v>100</v>
      </c>
      <c r="D240" s="5">
        <f>C240/100*128</f>
        <v>128</v>
      </c>
      <c r="E240" s="11">
        <f>C240/100*23.6</f>
        <v>23.6</v>
      </c>
      <c r="F240" s="11">
        <f>C240/100*3</f>
        <v>3</v>
      </c>
      <c r="G240" s="11">
        <f>C240/100*0.1</f>
        <v>0.1</v>
      </c>
      <c r="H240" s="11">
        <f>C240/100*86</f>
        <v>86</v>
      </c>
      <c r="I240" s="70"/>
      <c r="J240" s="70"/>
      <c r="K240" s="70"/>
      <c r="L240" s="70">
        <f>C240/100*0.2</f>
        <v>0.2</v>
      </c>
      <c r="M240" s="3">
        <v>3</v>
      </c>
    </row>
    <row r="241" spans="2:13">
      <c r="B241" s="104" t="s">
        <v>175</v>
      </c>
      <c r="C241" s="4">
        <v>100</v>
      </c>
      <c r="D241" s="5">
        <f>C241/100*290</f>
        <v>290</v>
      </c>
      <c r="E241" s="11">
        <f>C241/100*13.13</f>
        <v>13.13</v>
      </c>
      <c r="F241" s="11">
        <f>C241/100*23.65</f>
        <v>23.65</v>
      </c>
      <c r="G241" s="11">
        <f>C241/100*3.54</f>
        <v>3.54</v>
      </c>
      <c r="H241" s="11">
        <f>C241/100*0</f>
        <v>0</v>
      </c>
      <c r="I241" s="70"/>
      <c r="J241" s="70"/>
      <c r="K241" s="70"/>
      <c r="L241" s="11">
        <f>C241/100*1.1579869</f>
        <v>1.1579869</v>
      </c>
      <c r="M241" s="19" t="s">
        <v>755</v>
      </c>
    </row>
    <row r="242" spans="2:13">
      <c r="B242" s="81" t="s">
        <v>176</v>
      </c>
      <c r="C242" s="4">
        <v>100</v>
      </c>
      <c r="D242" s="5">
        <f>C242/100*315</f>
        <v>315</v>
      </c>
      <c r="E242" s="11">
        <f>C242/100*5.9</f>
        <v>5.9</v>
      </c>
      <c r="F242" s="11">
        <f>C242/100*14.5</f>
        <v>14.5</v>
      </c>
      <c r="G242" s="11">
        <f>C242/100*40.1</f>
        <v>40.1</v>
      </c>
      <c r="H242" s="11">
        <f>C242/100*0</f>
        <v>0</v>
      </c>
      <c r="I242" s="70"/>
      <c r="J242" s="70"/>
      <c r="K242" s="70"/>
      <c r="L242" s="70">
        <f>C242/100*7.4</f>
        <v>7.4</v>
      </c>
      <c r="M242" s="3">
        <v>6</v>
      </c>
    </row>
    <row r="243" spans="2:13">
      <c r="B243" s="81" t="s">
        <v>177</v>
      </c>
      <c r="C243" s="4">
        <v>100</v>
      </c>
      <c r="D243" s="5">
        <f>C243/100*126</f>
        <v>126</v>
      </c>
      <c r="E243" s="11">
        <f>C243/100*21</f>
        <v>21</v>
      </c>
      <c r="F243" s="11">
        <f>C243/100*3.3</f>
        <v>3.3</v>
      </c>
      <c r="G243" s="11">
        <f>C243/100*3</f>
        <v>3</v>
      </c>
      <c r="H243" s="11">
        <f>C243/100*280</f>
        <v>280</v>
      </c>
      <c r="I243" s="70"/>
      <c r="J243" s="70"/>
      <c r="K243" s="70"/>
      <c r="L243" s="70">
        <f>C243/100*5.6</f>
        <v>5.6</v>
      </c>
      <c r="M243" s="3">
        <v>3</v>
      </c>
    </row>
    <row r="244" spans="2:13">
      <c r="B244" s="104" t="s">
        <v>178</v>
      </c>
      <c r="C244" s="4">
        <v>100</v>
      </c>
      <c r="D244" s="5">
        <f>C244/100*188</f>
        <v>188</v>
      </c>
      <c r="E244" s="11">
        <f>C244/100*18.2</f>
        <v>18.2</v>
      </c>
      <c r="F244" s="11">
        <f>C244/100*11.3</f>
        <v>11.3</v>
      </c>
      <c r="G244" s="11">
        <f>C244/100*0.6</f>
        <v>0.6</v>
      </c>
      <c r="H244" s="11">
        <f>C244/100*0</f>
        <v>0</v>
      </c>
      <c r="I244" s="70"/>
      <c r="J244" s="70"/>
      <c r="K244" s="70"/>
      <c r="L244" s="11">
        <f>C244/100*2</f>
        <v>2</v>
      </c>
      <c r="M244" s="3">
        <v>3</v>
      </c>
    </row>
    <row r="245" spans="2:13">
      <c r="B245" s="104" t="s">
        <v>801</v>
      </c>
      <c r="C245" s="4">
        <v>90</v>
      </c>
      <c r="D245" s="5">
        <f>C245/100*137/0.9</f>
        <v>137</v>
      </c>
      <c r="E245" s="11">
        <f>C245/100*14.2/0.9</f>
        <v>14.2</v>
      </c>
      <c r="F245" s="11">
        <f>C245/100*8.9/0.9</f>
        <v>8.9</v>
      </c>
      <c r="G245" s="11">
        <f>C245/100*0.1/0.9</f>
        <v>0.1</v>
      </c>
      <c r="H245" s="11">
        <f>C245/100*78.2/0.9</f>
        <v>78.2</v>
      </c>
      <c r="I245" s="70"/>
      <c r="J245" s="70"/>
      <c r="K245" s="70"/>
      <c r="L245" s="11">
        <f>C245/100*0.6431566/0.9</f>
        <v>0.64315659999999997</v>
      </c>
      <c r="M245" s="19">
        <v>3</v>
      </c>
    </row>
    <row r="246" spans="2:13">
      <c r="B246" s="104" t="s">
        <v>179</v>
      </c>
      <c r="C246" s="4">
        <v>100</v>
      </c>
      <c r="D246" s="5">
        <f>C246/100*27</f>
        <v>27</v>
      </c>
      <c r="E246" s="11">
        <f>C246/100*3</f>
        <v>3</v>
      </c>
      <c r="F246" s="11">
        <f>C246/100*0.1</f>
        <v>0.1</v>
      </c>
      <c r="G246" s="11">
        <f>C246/100*5.2</f>
        <v>5.2</v>
      </c>
      <c r="H246" s="11">
        <f t="shared" ref="H246:H252" si="12">C246/100*0</f>
        <v>0</v>
      </c>
      <c r="I246" s="70">
        <f>C246/100*0.4</f>
        <v>0.4</v>
      </c>
      <c r="J246" s="70">
        <f>C246/100*2.5</f>
        <v>2.5</v>
      </c>
      <c r="K246" s="70">
        <f>C246/100*2.9</f>
        <v>2.9</v>
      </c>
      <c r="L246" s="70">
        <f>C246/100*0</f>
        <v>0</v>
      </c>
      <c r="M246" s="3">
        <v>6</v>
      </c>
    </row>
    <row r="247" spans="2:13">
      <c r="B247" s="104" t="s">
        <v>180</v>
      </c>
      <c r="C247" s="4">
        <v>100</v>
      </c>
      <c r="D247" s="5">
        <f>C247/100*26</f>
        <v>26</v>
      </c>
      <c r="E247" s="11">
        <f>C247/100*2.7</f>
        <v>2.7</v>
      </c>
      <c r="F247" s="11">
        <f>C247/100*0.1</f>
        <v>0.1</v>
      </c>
      <c r="G247" s="11">
        <f>C247/100*5.1</f>
        <v>5.0999999999999996</v>
      </c>
      <c r="H247" s="11">
        <f t="shared" si="12"/>
        <v>0</v>
      </c>
      <c r="I247" s="70">
        <f>C247/100*0.7</f>
        <v>0.7</v>
      </c>
      <c r="J247" s="70">
        <f>C247/100*2.5</f>
        <v>2.5</v>
      </c>
      <c r="K247" s="70">
        <f>C247/100*3.2</f>
        <v>3.2</v>
      </c>
      <c r="L247" s="70">
        <f>C247/100*0</f>
        <v>0</v>
      </c>
      <c r="M247" s="3">
        <v>6</v>
      </c>
    </row>
    <row r="248" spans="2:13">
      <c r="B248" s="103" t="s">
        <v>181</v>
      </c>
      <c r="C248" s="4">
        <v>100</v>
      </c>
      <c r="D248" s="5">
        <f>C248/100*411</f>
        <v>411</v>
      </c>
      <c r="E248" s="11">
        <f>C248/100*7.4</f>
        <v>7.4</v>
      </c>
      <c r="F248" s="11">
        <f>C248/100*11.8</f>
        <v>11.8</v>
      </c>
      <c r="G248" s="11">
        <f>C248/100*76.2</f>
        <v>76.2</v>
      </c>
      <c r="H248" s="11">
        <f t="shared" si="12"/>
        <v>0</v>
      </c>
      <c r="I248" s="70">
        <f>C248/100*0.7</f>
        <v>0.7</v>
      </c>
      <c r="J248" s="70">
        <f>C248/100*1</f>
        <v>1</v>
      </c>
      <c r="K248" s="70">
        <f>C248/100*1.7</f>
        <v>1.7</v>
      </c>
      <c r="L248" s="70">
        <f>C248/100*0</f>
        <v>0</v>
      </c>
      <c r="M248" s="19" t="s">
        <v>751</v>
      </c>
    </row>
    <row r="249" spans="2:13">
      <c r="B249" s="104" t="s">
        <v>970</v>
      </c>
      <c r="C249" s="4">
        <v>100</v>
      </c>
      <c r="D249" s="5">
        <f>C249/100*493</f>
        <v>493</v>
      </c>
      <c r="E249" s="11">
        <f>C249/100*5.2</f>
        <v>5.2</v>
      </c>
      <c r="F249" s="11">
        <f>C249/100*22.1</f>
        <v>22.1</v>
      </c>
      <c r="G249" s="11">
        <f>C249/100*68.4</f>
        <v>68.400000000000006</v>
      </c>
      <c r="H249" s="11">
        <f t="shared" si="12"/>
        <v>0</v>
      </c>
      <c r="I249" s="70"/>
      <c r="J249" s="70"/>
      <c r="K249" s="70">
        <f>C249/100*0.15</f>
        <v>0.15</v>
      </c>
      <c r="L249" s="11">
        <f>C249/100*0.0508424</f>
        <v>5.0842400000000003E-2</v>
      </c>
      <c r="M249" s="19" t="s">
        <v>751</v>
      </c>
    </row>
    <row r="250" spans="2:13">
      <c r="B250" s="104" t="s">
        <v>182</v>
      </c>
      <c r="C250" s="4">
        <v>100</v>
      </c>
      <c r="D250" s="5">
        <f>C250/100*502</f>
        <v>502</v>
      </c>
      <c r="E250" s="11">
        <f>C250/100*6.2</f>
        <v>6.2</v>
      </c>
      <c r="F250" s="11">
        <f>C250/100*24.4</f>
        <v>24.4</v>
      </c>
      <c r="G250" s="11">
        <f>C250/100*64.4</f>
        <v>64.400000000000006</v>
      </c>
      <c r="H250" s="11">
        <f t="shared" si="12"/>
        <v>0</v>
      </c>
      <c r="I250" s="70"/>
      <c r="J250" s="70"/>
      <c r="K250" s="70"/>
      <c r="L250" s="11">
        <f>C250/100*0.0406739</f>
        <v>4.0673899999999999E-2</v>
      </c>
      <c r="M250" s="19" t="s">
        <v>751</v>
      </c>
    </row>
    <row r="251" spans="2:13">
      <c r="B251" s="104" t="s">
        <v>183</v>
      </c>
      <c r="C251" s="4">
        <v>25</v>
      </c>
      <c r="D251" s="5">
        <f>C251/100*133/0.25</f>
        <v>133</v>
      </c>
      <c r="E251" s="11">
        <f>C251/100*1.2/0.25</f>
        <v>1.2</v>
      </c>
      <c r="F251" s="11">
        <f>C251/100*7.3/0.25</f>
        <v>7.3</v>
      </c>
      <c r="G251" s="11">
        <f>C251/100*15.7/0.25</f>
        <v>15.7</v>
      </c>
      <c r="H251" s="11">
        <f t="shared" si="12"/>
        <v>0</v>
      </c>
      <c r="I251" s="70">
        <f>C251/100*0.2/0.25</f>
        <v>0.2</v>
      </c>
      <c r="J251" s="70">
        <f>C251/100*0.3/0.25</f>
        <v>0.3</v>
      </c>
      <c r="K251" s="70">
        <f>C251/100*0.5/0.25</f>
        <v>0.5</v>
      </c>
      <c r="L251" s="11">
        <f>C251/100*0.022879/0.25</f>
        <v>2.2879E-2</v>
      </c>
      <c r="M251" s="19" t="s">
        <v>751</v>
      </c>
    </row>
    <row r="252" spans="2:13">
      <c r="B252" s="104" t="s">
        <v>184</v>
      </c>
      <c r="C252" s="4">
        <v>100</v>
      </c>
      <c r="D252" s="5">
        <f>C252/100*380</f>
        <v>380</v>
      </c>
      <c r="E252" s="11">
        <f>C252/100*3.7</f>
        <v>3.7</v>
      </c>
      <c r="F252" s="11">
        <f>C252/100*0.5</f>
        <v>0.5</v>
      </c>
      <c r="G252" s="11">
        <f>C252/100*91</f>
        <v>91</v>
      </c>
      <c r="H252" s="11">
        <f t="shared" si="12"/>
        <v>0</v>
      </c>
      <c r="I252" s="70"/>
      <c r="J252" s="70"/>
      <c r="K252" s="70"/>
      <c r="L252" s="11">
        <f>C252/100*1.3473241</f>
        <v>1.3473241</v>
      </c>
      <c r="M252" s="19" t="s">
        <v>751</v>
      </c>
    </row>
    <row r="253" spans="2:13">
      <c r="B253" s="104" t="s">
        <v>960</v>
      </c>
      <c r="C253" s="4">
        <v>100</v>
      </c>
      <c r="D253" s="5">
        <f>C253/100*183</f>
        <v>183</v>
      </c>
      <c r="E253" s="11">
        <f>C253/100*16.72</f>
        <v>16.72</v>
      </c>
      <c r="F253" s="11">
        <f>C253/100*10.26</f>
        <v>10.26</v>
      </c>
      <c r="G253" s="11">
        <f>C253/100*4.14</f>
        <v>4.1399999999999997</v>
      </c>
      <c r="H253" s="11">
        <f>C253/100*90</f>
        <v>90</v>
      </c>
      <c r="I253" s="70"/>
      <c r="J253" s="70"/>
      <c r="K253" s="70"/>
      <c r="L253" s="11">
        <f>C253/100*1.0052563</f>
        <v>1.0052563000000001</v>
      </c>
      <c r="M253" s="19" t="s">
        <v>751</v>
      </c>
    </row>
    <row r="254" spans="2:13">
      <c r="B254" s="103" t="s">
        <v>185</v>
      </c>
      <c r="C254" s="4">
        <v>100</v>
      </c>
      <c r="D254" s="5">
        <f>C254/100*117</f>
        <v>117</v>
      </c>
      <c r="E254" s="11">
        <f>C254/100*20.2</f>
        <v>20.2</v>
      </c>
      <c r="F254" s="11">
        <f>C254/100*3.4</f>
        <v>3.4</v>
      </c>
      <c r="G254" s="11">
        <f>C254/100*0</f>
        <v>0</v>
      </c>
      <c r="H254" s="11">
        <f>C254/100*87</f>
        <v>87</v>
      </c>
      <c r="I254" s="70"/>
      <c r="J254" s="70"/>
      <c r="K254" s="70"/>
      <c r="L254" s="70">
        <f>C254/100*1.1</f>
        <v>1.1000000000000001</v>
      </c>
      <c r="M254" s="3">
        <v>3</v>
      </c>
    </row>
    <row r="255" spans="2:13">
      <c r="B255" s="81" t="s">
        <v>186</v>
      </c>
      <c r="C255" s="8">
        <v>100</v>
      </c>
      <c r="D255" s="9">
        <f>C255/100*167.85</f>
        <v>167.85</v>
      </c>
      <c r="E255" s="9">
        <f>C255/100*5.85</f>
        <v>5.85</v>
      </c>
      <c r="F255" s="9">
        <f>C255/100*10.67</f>
        <v>10.67</v>
      </c>
      <c r="G255" s="9">
        <f>C255/100*11.49</f>
        <v>11.49</v>
      </c>
      <c r="H255" s="11">
        <f>C255/100*0</f>
        <v>0</v>
      </c>
      <c r="I255" s="123"/>
      <c r="J255" s="123"/>
      <c r="K255" s="123">
        <f>C255/100*1.38</f>
        <v>1.38</v>
      </c>
      <c r="L255" s="124">
        <f>C255/100*1.33</f>
        <v>1.33</v>
      </c>
      <c r="M255" s="3">
        <v>3</v>
      </c>
    </row>
    <row r="256" spans="2:13">
      <c r="B256" s="81" t="s">
        <v>187</v>
      </c>
      <c r="C256" s="4">
        <v>100</v>
      </c>
      <c r="D256" s="5">
        <f>C256/100*95</f>
        <v>95</v>
      </c>
      <c r="E256" s="11">
        <f>C256/100*19.6</f>
        <v>19.600000000000001</v>
      </c>
      <c r="F256" s="11">
        <f>C256/100*1.3</f>
        <v>1.3</v>
      </c>
      <c r="G256" s="11">
        <f>C256/100*0.1</f>
        <v>0.1</v>
      </c>
      <c r="H256" s="11">
        <f>C256/100*71</f>
        <v>71</v>
      </c>
      <c r="I256" s="70"/>
      <c r="J256" s="70"/>
      <c r="K256" s="70"/>
      <c r="L256" s="70">
        <f>C256/100*0.3</f>
        <v>0.3</v>
      </c>
      <c r="M256" s="3">
        <v>3</v>
      </c>
    </row>
    <row r="257" spans="2:13">
      <c r="B257" s="81" t="s">
        <v>188</v>
      </c>
      <c r="C257" s="4">
        <v>100</v>
      </c>
      <c r="D257" s="5">
        <f>C257/100*107</f>
        <v>107</v>
      </c>
      <c r="E257" s="11">
        <f>C257/100*21.4</f>
        <v>21.4</v>
      </c>
      <c r="F257" s="11">
        <f>C257/100*1.7</f>
        <v>1.7</v>
      </c>
      <c r="G257" s="11">
        <f>C257/100*0.1</f>
        <v>0.1</v>
      </c>
      <c r="H257" s="11">
        <f>C257/100*87</f>
        <v>87</v>
      </c>
      <c r="I257" s="70"/>
      <c r="J257" s="70"/>
      <c r="K257" s="70"/>
      <c r="L257" s="70">
        <f>C257/100*0.3</f>
        <v>0.3</v>
      </c>
      <c r="M257" s="3">
        <v>3</v>
      </c>
    </row>
    <row r="258" spans="2:13">
      <c r="B258" s="81" t="s">
        <v>189</v>
      </c>
      <c r="C258" s="4">
        <v>100</v>
      </c>
      <c r="D258" s="5">
        <f>C258/100*110</f>
        <v>110</v>
      </c>
      <c r="E258" s="11">
        <f>C258/100*23.4</f>
        <v>23.4</v>
      </c>
      <c r="F258" s="11">
        <f>C258/100*1.2</f>
        <v>1.2</v>
      </c>
      <c r="G258" s="11">
        <f>C258/100*0.1</f>
        <v>0.1</v>
      </c>
      <c r="H258" s="11">
        <f>C258/100*100</f>
        <v>100</v>
      </c>
      <c r="I258" s="70"/>
      <c r="J258" s="70"/>
      <c r="K258" s="70"/>
      <c r="L258" s="70">
        <f>C258/100*0.3</f>
        <v>0.3</v>
      </c>
      <c r="M258" s="3">
        <v>3</v>
      </c>
    </row>
    <row r="259" spans="2:13">
      <c r="B259" s="104" t="s">
        <v>190</v>
      </c>
      <c r="C259" s="4">
        <v>100</v>
      </c>
      <c r="D259" s="5">
        <f>C259/100*512</f>
        <v>512</v>
      </c>
      <c r="E259" s="11">
        <f>C259/100*6.5</f>
        <v>6.5</v>
      </c>
      <c r="F259" s="11">
        <f>C259/100*34.1</f>
        <v>34.1</v>
      </c>
      <c r="G259" s="11">
        <f>C259/100*44.7</f>
        <v>44.7</v>
      </c>
      <c r="H259" s="11">
        <f>C259/100*20</f>
        <v>20</v>
      </c>
      <c r="I259" s="70">
        <f>C259/100*1.2</f>
        <v>1.2</v>
      </c>
      <c r="J259" s="70">
        <f>C259/100*3.5</f>
        <v>3.5</v>
      </c>
      <c r="K259" s="70">
        <f>C259/100*3.7</f>
        <v>3.7</v>
      </c>
      <c r="L259" s="70">
        <f>C259/100*10.7</f>
        <v>10.7</v>
      </c>
      <c r="M259" s="3" t="s">
        <v>747</v>
      </c>
    </row>
    <row r="260" spans="2:13">
      <c r="B260" s="82" t="s">
        <v>191</v>
      </c>
      <c r="C260" s="4">
        <v>17.5</v>
      </c>
      <c r="D260" s="5">
        <f>C260/100*89/0.175</f>
        <v>89</v>
      </c>
      <c r="E260" s="11">
        <f>C260/100*1.1/0.175</f>
        <v>1.1000000000000001</v>
      </c>
      <c r="F260" s="11">
        <f>C260/100*6.2/0.175</f>
        <v>6.2</v>
      </c>
      <c r="G260" s="11">
        <f>C260/100*7.3/0.175</f>
        <v>7.3</v>
      </c>
      <c r="H260" s="11">
        <f>C260/100*3.1/0.175</f>
        <v>3.1</v>
      </c>
      <c r="I260" s="70"/>
      <c r="J260" s="70"/>
      <c r="K260" s="70"/>
      <c r="L260" s="11">
        <f>C260/100*2.3895937/0.175</f>
        <v>2.3895936999999998</v>
      </c>
      <c r="M260" s="3" t="s">
        <v>747</v>
      </c>
    </row>
    <row r="261" spans="2:13">
      <c r="B261" s="82" t="s">
        <v>1231</v>
      </c>
      <c r="C261" s="4">
        <v>17.5</v>
      </c>
      <c r="D261" s="5">
        <f>C261/100*90/0.175</f>
        <v>90</v>
      </c>
      <c r="E261" s="11">
        <f>C261/100*1/0.175</f>
        <v>1</v>
      </c>
      <c r="F261" s="11">
        <f>C261/100*6.3/0.175</f>
        <v>6.2999999999999989</v>
      </c>
      <c r="G261" s="11">
        <f>C261/100*7.2/0.175</f>
        <v>7.2</v>
      </c>
      <c r="H261" s="11">
        <f>C261/100*0/0.175</f>
        <v>0</v>
      </c>
      <c r="I261" s="70"/>
      <c r="J261" s="70"/>
      <c r="K261" s="70"/>
      <c r="L261" s="11">
        <f>C261/100*2.4150149/0.175</f>
        <v>2.4150149000000001</v>
      </c>
      <c r="M261" s="3" t="s">
        <v>747</v>
      </c>
    </row>
    <row r="262" spans="2:13">
      <c r="B262" s="82" t="s">
        <v>192</v>
      </c>
      <c r="C262" s="4">
        <v>19</v>
      </c>
      <c r="D262" s="5">
        <f>C262/100*96/0.19</f>
        <v>96.000000000000014</v>
      </c>
      <c r="E262" s="11">
        <f>C262/100*0.95/0.19</f>
        <v>0.95</v>
      </c>
      <c r="F262" s="11">
        <f>C262/100*6.5/0.19</f>
        <v>6.5</v>
      </c>
      <c r="G262" s="11">
        <f>C262/100*8.5/0.19</f>
        <v>8.5</v>
      </c>
      <c r="H262" s="11">
        <f>C262/100*3.8/0.19</f>
        <v>3.8</v>
      </c>
      <c r="I262" s="70"/>
      <c r="J262" s="70"/>
      <c r="K262" s="70"/>
      <c r="L262" s="11">
        <f>C262/100*2.542121/0.19</f>
        <v>2.5421209999999999</v>
      </c>
      <c r="M262" s="3" t="s">
        <v>747</v>
      </c>
    </row>
    <row r="263" spans="2:13">
      <c r="B263" s="104" t="s">
        <v>969</v>
      </c>
      <c r="C263" s="4">
        <v>100</v>
      </c>
      <c r="D263" s="5">
        <f>C263/100*167</f>
        <v>167</v>
      </c>
      <c r="E263" s="11">
        <f>C263/100*4.07</f>
        <v>4.07</v>
      </c>
      <c r="F263" s="11">
        <f>C263/100*5.14</f>
        <v>5.14</v>
      </c>
      <c r="G263" s="11">
        <f>C263/100*25.02</f>
        <v>25.02</v>
      </c>
      <c r="H263" s="11">
        <f t="shared" ref="H263:H271" si="13">C263/100*0</f>
        <v>0</v>
      </c>
      <c r="I263" s="70"/>
      <c r="J263" s="70"/>
      <c r="K263" s="70">
        <f>C263/100*0.91</f>
        <v>0.91</v>
      </c>
      <c r="L263" s="11">
        <f>C263/100*0.77</f>
        <v>0.77</v>
      </c>
      <c r="M263" s="19" t="s">
        <v>753</v>
      </c>
    </row>
    <row r="264" spans="2:13">
      <c r="B264" s="104" t="s">
        <v>915</v>
      </c>
      <c r="C264" s="4">
        <v>17.5</v>
      </c>
      <c r="D264" s="5">
        <f>C264/100*89/0.175</f>
        <v>89</v>
      </c>
      <c r="E264" s="11">
        <f>C264/100*1/0.175</f>
        <v>1</v>
      </c>
      <c r="F264" s="11">
        <f>C264/100*6.2/0.175</f>
        <v>6.2</v>
      </c>
      <c r="G264" s="11">
        <f>C264/100*7.4/0.175</f>
        <v>7.4</v>
      </c>
      <c r="H264" s="11">
        <f t="shared" si="13"/>
        <v>0</v>
      </c>
      <c r="I264" s="70"/>
      <c r="J264" s="70"/>
      <c r="K264" s="70"/>
      <c r="L264" s="11">
        <f>C264/100*2.4150149/0.175</f>
        <v>2.4150149000000001</v>
      </c>
      <c r="M264" s="19" t="s">
        <v>751</v>
      </c>
    </row>
    <row r="265" spans="2:13">
      <c r="B265" s="104" t="s">
        <v>193</v>
      </c>
      <c r="C265" s="4">
        <v>100</v>
      </c>
      <c r="D265" s="5">
        <f>C265/100*429</f>
        <v>429</v>
      </c>
      <c r="E265" s="11">
        <f>C265/100*12.1</f>
        <v>12.1</v>
      </c>
      <c r="F265" s="11">
        <f>C265/100*8.7</f>
        <v>8.6999999999999993</v>
      </c>
      <c r="G265" s="11">
        <f>C265/100*75.6</f>
        <v>75.599999999999994</v>
      </c>
      <c r="H265" s="11">
        <f t="shared" si="13"/>
        <v>0</v>
      </c>
      <c r="I265" s="70"/>
      <c r="J265" s="70"/>
      <c r="K265" s="70"/>
      <c r="L265" s="11">
        <f>C265/100*0.4550396</f>
        <v>0.45503959999999999</v>
      </c>
      <c r="M265" s="19" t="s">
        <v>751</v>
      </c>
    </row>
    <row r="266" spans="2:13">
      <c r="B266" s="104" t="s">
        <v>818</v>
      </c>
      <c r="C266" s="4">
        <v>100</v>
      </c>
      <c r="D266" s="5">
        <f>C266/100*341</f>
        <v>341</v>
      </c>
      <c r="E266" s="11">
        <f>C266/100*28.7</f>
        <v>28.7</v>
      </c>
      <c r="F266" s="11">
        <f>C266/100*2.2</f>
        <v>2.2000000000000002</v>
      </c>
      <c r="G266" s="11">
        <f>C266/100*51.6</f>
        <v>51.6</v>
      </c>
      <c r="H266" s="11">
        <f t="shared" si="13"/>
        <v>0</v>
      </c>
      <c r="I266" s="70"/>
      <c r="J266" s="70"/>
      <c r="K266" s="70"/>
      <c r="L266" s="11">
        <f>C266/100*2.2370664</f>
        <v>2.2370663999999998</v>
      </c>
      <c r="M266" s="19" t="s">
        <v>750</v>
      </c>
    </row>
    <row r="267" spans="2:13">
      <c r="B267" s="104" t="s">
        <v>194</v>
      </c>
      <c r="C267" s="4">
        <v>7.5</v>
      </c>
      <c r="D267" s="5">
        <f>C267/100*12/0.075</f>
        <v>12</v>
      </c>
      <c r="E267" s="11">
        <f>C267/100*0.1/0.075</f>
        <v>0.1</v>
      </c>
      <c r="F267" s="11">
        <f>C267/100*0/0.075</f>
        <v>0</v>
      </c>
      <c r="G267" s="11">
        <f>C267/100*5.8/0.075</f>
        <v>5.8</v>
      </c>
      <c r="H267" s="11">
        <f t="shared" si="13"/>
        <v>0</v>
      </c>
      <c r="I267" s="70"/>
      <c r="J267" s="70"/>
      <c r="K267" s="70">
        <f>C267/100*5.6/0.075</f>
        <v>5.6</v>
      </c>
      <c r="L267" s="70"/>
      <c r="M267" s="3">
        <v>6</v>
      </c>
    </row>
    <row r="268" spans="2:13">
      <c r="B268" s="104" t="s">
        <v>984</v>
      </c>
      <c r="C268" s="4">
        <v>7.5</v>
      </c>
      <c r="D268" s="5">
        <f>C268/100*0/0.075</f>
        <v>0</v>
      </c>
      <c r="E268" s="11">
        <f>C268/100*0.1/0.075</f>
        <v>0.1</v>
      </c>
      <c r="F268" s="11">
        <f>C268/100*0/0.075</f>
        <v>0</v>
      </c>
      <c r="G268" s="11">
        <f>C268/100*5.8/0.075</f>
        <v>5.8</v>
      </c>
      <c r="H268" s="11">
        <f t="shared" si="13"/>
        <v>0</v>
      </c>
      <c r="I268" s="70"/>
      <c r="J268" s="70"/>
      <c r="K268" s="70">
        <f>C268/100*5.8/0.075</f>
        <v>5.8</v>
      </c>
      <c r="L268" s="11">
        <f>C268/100*0.0152527/0.075</f>
        <v>1.5252699999999999E-2</v>
      </c>
      <c r="M268" s="3">
        <v>6</v>
      </c>
    </row>
    <row r="269" spans="2:13">
      <c r="B269" s="104" t="s">
        <v>925</v>
      </c>
      <c r="C269" s="4">
        <v>7.5</v>
      </c>
      <c r="D269" s="5">
        <f>C269/100*0/0.075</f>
        <v>0</v>
      </c>
      <c r="E269" s="11">
        <f>C269/100*0.1/0.075</f>
        <v>0.1</v>
      </c>
      <c r="F269" s="11">
        <f>C269/100*0/0.075</f>
        <v>0</v>
      </c>
      <c r="G269" s="11">
        <f>C269/100*5.8/0.075</f>
        <v>5.8</v>
      </c>
      <c r="H269" s="11">
        <f t="shared" si="13"/>
        <v>0</v>
      </c>
      <c r="I269" s="70"/>
      <c r="J269" s="70"/>
      <c r="K269" s="70">
        <f>C269/100*5.8/0.075</f>
        <v>5.8</v>
      </c>
      <c r="L269" s="11">
        <f>C269/100*0.0152527/0.075</f>
        <v>1.5252699999999999E-2</v>
      </c>
      <c r="M269" s="3">
        <v>6</v>
      </c>
    </row>
    <row r="270" spans="2:13">
      <c r="B270" s="104" t="s">
        <v>924</v>
      </c>
      <c r="C270" s="4">
        <v>100</v>
      </c>
      <c r="D270" s="5">
        <f>C270/100*3</f>
        <v>3</v>
      </c>
      <c r="E270" s="11">
        <f>C270/100*0</f>
        <v>0</v>
      </c>
      <c r="F270" s="11">
        <f>C270/100*0</f>
        <v>0</v>
      </c>
      <c r="G270" s="11">
        <f>C270/100*1.5</f>
        <v>1.5</v>
      </c>
      <c r="H270" s="11">
        <f t="shared" si="13"/>
        <v>0</v>
      </c>
      <c r="I270" s="70"/>
      <c r="J270" s="70"/>
      <c r="K270" s="70">
        <f>C270/100*1.5</f>
        <v>1.5</v>
      </c>
      <c r="L270" s="11">
        <f>C270/100*0.0050842</f>
        <v>5.0841999999999997E-3</v>
      </c>
      <c r="M270" s="3">
        <v>6</v>
      </c>
    </row>
    <row r="271" spans="2:13">
      <c r="B271" s="104" t="s">
        <v>1055</v>
      </c>
      <c r="C271" s="4">
        <v>2</v>
      </c>
      <c r="D271" s="5">
        <f>C271/100*0.2/0.02</f>
        <v>0.2</v>
      </c>
      <c r="E271" s="11">
        <f>C271/100*0/0.02</f>
        <v>0</v>
      </c>
      <c r="F271" s="11">
        <f>C271/100*0/0.02</f>
        <v>0</v>
      </c>
      <c r="G271" s="11">
        <f>C271/100*1.64/0.02</f>
        <v>1.6399999999999997</v>
      </c>
      <c r="H271" s="11">
        <f t="shared" si="13"/>
        <v>0</v>
      </c>
      <c r="I271" s="70"/>
      <c r="J271" s="70"/>
      <c r="K271" s="70">
        <f>C271/100*1.6/0.02</f>
        <v>1.6</v>
      </c>
      <c r="L271" s="11">
        <f>C271/100*0.0147443/0.02</f>
        <v>1.47443E-2</v>
      </c>
      <c r="M271" s="3">
        <v>6</v>
      </c>
    </row>
    <row r="272" spans="2:13">
      <c r="B272" s="104" t="s">
        <v>946</v>
      </c>
      <c r="C272" s="4">
        <v>100</v>
      </c>
      <c r="D272" s="5">
        <f>C272/100*129</f>
        <v>129</v>
      </c>
      <c r="E272" s="11">
        <f>C272/100*21</f>
        <v>21</v>
      </c>
      <c r="F272" s="11">
        <f>C272/100*4.2</f>
        <v>4.2</v>
      </c>
      <c r="G272" s="11">
        <f>C272/100*0.1</f>
        <v>0.1</v>
      </c>
      <c r="H272" s="11">
        <f>C272/100*62</f>
        <v>62</v>
      </c>
      <c r="I272" s="70"/>
      <c r="J272" s="70"/>
      <c r="K272" s="70"/>
      <c r="L272" s="11">
        <f>C272/100*0.1652378</f>
        <v>0.16523779999999999</v>
      </c>
      <c r="M272" s="3">
        <v>3</v>
      </c>
    </row>
    <row r="273" spans="2:13">
      <c r="B273" s="103" t="s">
        <v>195</v>
      </c>
      <c r="C273" s="4">
        <v>100</v>
      </c>
      <c r="D273" s="5">
        <f>C273/100*393</f>
        <v>393</v>
      </c>
      <c r="E273" s="11">
        <f>C273/100*9.6</f>
        <v>9.6</v>
      </c>
      <c r="F273" s="11">
        <f>C273/100*4.4</f>
        <v>4.4000000000000004</v>
      </c>
      <c r="G273" s="11">
        <f>C273/100*78.8</f>
        <v>78.8</v>
      </c>
      <c r="H273" s="11">
        <f t="shared" ref="H273:H291" si="14">C273/100*0</f>
        <v>0</v>
      </c>
      <c r="I273" s="70">
        <f>C273/100*1.8</f>
        <v>1.8</v>
      </c>
      <c r="J273" s="70">
        <f>C273/100*1.3</f>
        <v>1.3</v>
      </c>
      <c r="K273" s="70">
        <f>C273/100*3.1</f>
        <v>3.1</v>
      </c>
      <c r="L273" s="70">
        <f>C273/100*1.2</f>
        <v>1.2</v>
      </c>
      <c r="M273" s="3">
        <v>1</v>
      </c>
    </row>
    <row r="274" spans="2:13">
      <c r="B274" s="104" t="s">
        <v>196</v>
      </c>
      <c r="C274" s="4">
        <v>100</v>
      </c>
      <c r="D274" s="5">
        <f>C274/100*228</f>
        <v>228</v>
      </c>
      <c r="E274" s="11">
        <f>C274/100*15.3</f>
        <v>15.3</v>
      </c>
      <c r="F274" s="11">
        <f>C274/100*17.8</f>
        <v>17.8</v>
      </c>
      <c r="G274" s="11">
        <f>C274/100*1.6</f>
        <v>1.6</v>
      </c>
      <c r="H274" s="11">
        <f t="shared" si="14"/>
        <v>0</v>
      </c>
      <c r="I274" s="70">
        <f>C274/100*0.6</f>
        <v>0.6</v>
      </c>
      <c r="J274" s="70">
        <f>C274/100*0.8</f>
        <v>0.8</v>
      </c>
      <c r="K274" s="70">
        <f>C274/100*1.4</f>
        <v>1.4</v>
      </c>
      <c r="L274" s="11">
        <f>C274/100*0.5</f>
        <v>0.5</v>
      </c>
      <c r="M274" s="3">
        <v>3</v>
      </c>
    </row>
    <row r="275" spans="2:13">
      <c r="B275" s="104" t="s">
        <v>863</v>
      </c>
      <c r="C275" s="4">
        <v>100</v>
      </c>
      <c r="D275" s="5">
        <f>C275/100*174</f>
        <v>174</v>
      </c>
      <c r="E275" s="11">
        <f>C275/100*5.3</f>
        <v>5.3</v>
      </c>
      <c r="F275" s="11">
        <f>C275/100*3.4</f>
        <v>3.4</v>
      </c>
      <c r="G275" s="11">
        <f>C275/100*2</f>
        <v>2</v>
      </c>
      <c r="H275" s="11">
        <f t="shared" si="14"/>
        <v>0</v>
      </c>
      <c r="I275" s="70">
        <f>C275/100*0.6</f>
        <v>0.6</v>
      </c>
      <c r="J275" s="70">
        <f>C275/100*0.8</f>
        <v>0.8</v>
      </c>
      <c r="K275" s="70">
        <f>C275/100*1.4</f>
        <v>1.4</v>
      </c>
      <c r="L275" s="11">
        <f>C275/100*0.231333</f>
        <v>0.23133300000000001</v>
      </c>
      <c r="M275" s="3">
        <v>1</v>
      </c>
    </row>
    <row r="276" spans="2:13">
      <c r="B276" s="103" t="s">
        <v>197</v>
      </c>
      <c r="C276" s="4">
        <v>100</v>
      </c>
      <c r="D276" s="5">
        <f>C276/100*53</f>
        <v>53</v>
      </c>
      <c r="E276" s="11">
        <f>C276/100*1</f>
        <v>1</v>
      </c>
      <c r="F276" s="11">
        <f>C276/100*0.1</f>
        <v>0.1</v>
      </c>
      <c r="G276" s="11">
        <f>C276/100*13.5</f>
        <v>13.5</v>
      </c>
      <c r="H276" s="11">
        <f t="shared" si="14"/>
        <v>0</v>
      </c>
      <c r="I276" s="70">
        <f>C276/100*0.7</f>
        <v>0.7</v>
      </c>
      <c r="J276" s="70">
        <f>C276/100*1.8</f>
        <v>1.8</v>
      </c>
      <c r="K276" s="70">
        <f>C276/100*2.5</f>
        <v>2.5</v>
      </c>
      <c r="L276" s="70">
        <f>C276/100*0</f>
        <v>0</v>
      </c>
      <c r="M276" s="3">
        <v>2</v>
      </c>
    </row>
    <row r="277" spans="2:13">
      <c r="B277" s="104" t="s">
        <v>198</v>
      </c>
      <c r="C277" s="4">
        <v>10.8</v>
      </c>
      <c r="D277" s="5">
        <f>C277/100*50/0.108</f>
        <v>50.000000000000007</v>
      </c>
      <c r="E277" s="11">
        <f>C277/100*0.8/0.108</f>
        <v>0.80000000000000016</v>
      </c>
      <c r="F277" s="11">
        <f>C277/100*1.5/0.108</f>
        <v>1.5000000000000002</v>
      </c>
      <c r="G277" s="11">
        <f>C277/100*8.2/0.108</f>
        <v>8.2000000000000011</v>
      </c>
      <c r="H277" s="11">
        <f t="shared" si="14"/>
        <v>0</v>
      </c>
      <c r="I277" s="70"/>
      <c r="J277" s="70"/>
      <c r="K277" s="70"/>
      <c r="L277" s="11">
        <f>C277/100*0.0584687/0.108</f>
        <v>5.8468700000000005E-2</v>
      </c>
      <c r="M277" s="19" t="s">
        <v>751</v>
      </c>
    </row>
    <row r="278" spans="2:13">
      <c r="B278" s="104" t="s">
        <v>964</v>
      </c>
      <c r="C278" s="4">
        <v>100</v>
      </c>
      <c r="D278" s="5">
        <f>C278/100*262</f>
        <v>262</v>
      </c>
      <c r="E278" s="11">
        <f>C278/100*13.6</f>
        <v>13.6</v>
      </c>
      <c r="F278" s="11">
        <f>C278/100*21.7</f>
        <v>21.7</v>
      </c>
      <c r="G278" s="11">
        <f>C278/100*0</f>
        <v>0</v>
      </c>
      <c r="H278" s="11">
        <f t="shared" si="14"/>
        <v>0</v>
      </c>
      <c r="I278" s="70"/>
      <c r="J278" s="70"/>
      <c r="K278" s="70"/>
      <c r="L278" s="11">
        <f>C278/100*0.2</f>
        <v>0.2</v>
      </c>
      <c r="M278" s="3">
        <v>3</v>
      </c>
    </row>
    <row r="279" spans="2:13">
      <c r="B279" s="104" t="s">
        <v>199</v>
      </c>
      <c r="C279" s="4">
        <v>100</v>
      </c>
      <c r="D279" s="5">
        <f>C279/100*437</f>
        <v>437</v>
      </c>
      <c r="E279" s="11">
        <f>C279/100*35.5</f>
        <v>35.5</v>
      </c>
      <c r="F279" s="11">
        <f>C279/100*23.4</f>
        <v>23.4</v>
      </c>
      <c r="G279" s="11">
        <f>C279/100*31</f>
        <v>31</v>
      </c>
      <c r="H279" s="11">
        <f t="shared" si="14"/>
        <v>0</v>
      </c>
      <c r="I279" s="70">
        <f>C279/100*1.9</f>
        <v>1.9</v>
      </c>
      <c r="J279" s="70">
        <f>C279/100*15</f>
        <v>15</v>
      </c>
      <c r="K279" s="70">
        <f>C279/100*16.9</f>
        <v>16.899999999999999</v>
      </c>
      <c r="L279" s="70">
        <f>C279/100*0</f>
        <v>0</v>
      </c>
      <c r="M279" s="3">
        <v>3</v>
      </c>
    </row>
    <row r="280" spans="2:13">
      <c r="B280" s="104" t="s">
        <v>200</v>
      </c>
      <c r="C280" s="4">
        <v>100</v>
      </c>
      <c r="D280" s="5">
        <f>C280/100*434</f>
        <v>434</v>
      </c>
      <c r="E280" s="11">
        <f>C280/100*36.8</f>
        <v>36.799999999999997</v>
      </c>
      <c r="F280" s="11">
        <f>C280/100*23.1</f>
        <v>23.1</v>
      </c>
      <c r="G280" s="11">
        <f>C280/100*29.8</f>
        <v>29.8</v>
      </c>
      <c r="H280" s="11">
        <f t="shared" si="14"/>
        <v>0</v>
      </c>
      <c r="I280" s="70">
        <f>C280/100*1.9</f>
        <v>1.9</v>
      </c>
      <c r="J280" s="70">
        <f>C280/100*11.8</f>
        <v>11.8</v>
      </c>
      <c r="K280" s="70">
        <f>C280/100*13.7</f>
        <v>13.7</v>
      </c>
      <c r="L280" s="70">
        <f>C280/100*0</f>
        <v>0</v>
      </c>
      <c r="M280" s="3">
        <v>3</v>
      </c>
    </row>
    <row r="281" spans="2:13">
      <c r="B281" s="104" t="s">
        <v>1064</v>
      </c>
      <c r="C281" s="4">
        <v>100</v>
      </c>
      <c r="D281" s="5">
        <f>C281/100*387</f>
        <v>387</v>
      </c>
      <c r="E281" s="11">
        <f>C281/100*15.8</f>
        <v>15.8</v>
      </c>
      <c r="F281" s="11">
        <f>C281/100*8.9</f>
        <v>8.9</v>
      </c>
      <c r="G281" s="11">
        <f>C281/100*61</f>
        <v>61</v>
      </c>
      <c r="H281" s="11">
        <f t="shared" si="14"/>
        <v>0</v>
      </c>
      <c r="I281" s="70"/>
      <c r="J281" s="70"/>
      <c r="K281" s="70">
        <f>C281/100*0.15</f>
        <v>0.15</v>
      </c>
      <c r="L281" s="11">
        <f>C281/100*0.2542121</f>
        <v>0.2542121</v>
      </c>
      <c r="M281" s="19" t="s">
        <v>751</v>
      </c>
    </row>
    <row r="282" spans="2:13">
      <c r="B282" s="81" t="s">
        <v>1083</v>
      </c>
      <c r="C282" s="4">
        <v>100</v>
      </c>
      <c r="D282" s="5">
        <f>C282/100*371</f>
        <v>371</v>
      </c>
      <c r="E282" s="11">
        <f>C282/100*14.4</f>
        <v>14.4</v>
      </c>
      <c r="F282" s="11">
        <f>C282/100*8.2</f>
        <v>8.1999999999999993</v>
      </c>
      <c r="G282" s="11">
        <f>C282/100*63.2</f>
        <v>63.2</v>
      </c>
      <c r="H282" s="11">
        <f t="shared" si="14"/>
        <v>0</v>
      </c>
      <c r="I282" s="70"/>
      <c r="J282" s="70"/>
      <c r="K282" s="70">
        <f>C282/100*6.7</f>
        <v>6.7</v>
      </c>
      <c r="L282" s="11">
        <f>C282/100*0</f>
        <v>0</v>
      </c>
      <c r="M282" s="19" t="s">
        <v>751</v>
      </c>
    </row>
    <row r="283" spans="2:13">
      <c r="B283" s="104" t="s">
        <v>201</v>
      </c>
      <c r="C283" s="4">
        <v>100</v>
      </c>
      <c r="D283" s="5">
        <f>C283/100*387</f>
        <v>387</v>
      </c>
      <c r="E283" s="11">
        <f>C283/100*15.8</f>
        <v>15.8</v>
      </c>
      <c r="F283" s="11">
        <f>C283/100*8.9</f>
        <v>8.9</v>
      </c>
      <c r="G283" s="11">
        <f>C283/100*61</f>
        <v>61</v>
      </c>
      <c r="H283" s="11">
        <f t="shared" si="14"/>
        <v>0</v>
      </c>
      <c r="I283" s="70"/>
      <c r="J283" s="70"/>
      <c r="K283" s="70">
        <f>C283/100*0.15</f>
        <v>0.15</v>
      </c>
      <c r="L283" s="11">
        <f>C283/100*0.2542121</f>
        <v>0.2542121</v>
      </c>
      <c r="M283" s="19" t="s">
        <v>751</v>
      </c>
    </row>
    <row r="284" spans="2:13">
      <c r="B284" s="81" t="s">
        <v>1082</v>
      </c>
      <c r="C284" s="4">
        <v>100</v>
      </c>
      <c r="D284" s="5">
        <f>C284/100*387</f>
        <v>387</v>
      </c>
      <c r="E284" s="11">
        <f>C284/100*15.1</f>
        <v>15.1</v>
      </c>
      <c r="F284" s="11">
        <f>C284/100*10</f>
        <v>10</v>
      </c>
      <c r="G284" s="11">
        <f>C284/100*59.1</f>
        <v>59.1</v>
      </c>
      <c r="H284" s="11">
        <f t="shared" si="14"/>
        <v>0</v>
      </c>
      <c r="I284" s="70"/>
      <c r="J284" s="70"/>
      <c r="K284" s="70"/>
      <c r="L284" s="11">
        <f>C284/100*0</f>
        <v>0</v>
      </c>
      <c r="M284" s="19" t="s">
        <v>751</v>
      </c>
    </row>
    <row r="285" spans="2:13">
      <c r="B285" s="81" t="s">
        <v>1250</v>
      </c>
      <c r="C285" s="4">
        <v>100</v>
      </c>
      <c r="D285" s="5">
        <f>C285/100*387</f>
        <v>387</v>
      </c>
      <c r="E285" s="11">
        <f>C285/100*17</f>
        <v>17</v>
      </c>
      <c r="F285" s="11">
        <f>C285/100*19</f>
        <v>19</v>
      </c>
      <c r="G285" s="11">
        <f>C285/100*50</f>
        <v>50</v>
      </c>
      <c r="H285" s="11">
        <f t="shared" si="14"/>
        <v>0</v>
      </c>
      <c r="I285" s="70"/>
      <c r="J285" s="70"/>
      <c r="K285" s="70">
        <f>C285/100*9</f>
        <v>9</v>
      </c>
      <c r="L285" s="11">
        <f>C285/100*0.2160802</f>
        <v>0.2160802</v>
      </c>
      <c r="M285" s="19" t="s">
        <v>751</v>
      </c>
    </row>
    <row r="286" spans="2:13">
      <c r="B286" s="104" t="s">
        <v>202</v>
      </c>
      <c r="C286" s="4">
        <v>100</v>
      </c>
      <c r="D286" s="5">
        <f>C286/100*536</f>
        <v>536</v>
      </c>
      <c r="E286" s="11">
        <f>C286/100*7.61</f>
        <v>7.61</v>
      </c>
      <c r="F286" s="11">
        <f>C286/100*26.97</f>
        <v>26.97</v>
      </c>
      <c r="G286" s="11">
        <f>C286/100*65.36</f>
        <v>65.36</v>
      </c>
      <c r="H286" s="11">
        <f t="shared" si="14"/>
        <v>0</v>
      </c>
      <c r="I286" s="70"/>
      <c r="J286" s="70"/>
      <c r="K286" s="70"/>
      <c r="L286" s="11"/>
      <c r="M286" s="19" t="s">
        <v>751</v>
      </c>
    </row>
    <row r="287" spans="2:13">
      <c r="B287" s="104" t="s">
        <v>203</v>
      </c>
      <c r="C287" s="4">
        <v>100</v>
      </c>
      <c r="D287" s="5">
        <f>C287/100*352</f>
        <v>352</v>
      </c>
      <c r="E287" s="11">
        <f>C287/100*2.1</f>
        <v>2.1</v>
      </c>
      <c r="F287" s="11">
        <f>C287/100*1.1</f>
        <v>1.1000000000000001</v>
      </c>
      <c r="G287" s="11">
        <f>C287/100*83.5</f>
        <v>83.5</v>
      </c>
      <c r="H287" s="11">
        <f t="shared" si="14"/>
        <v>0</v>
      </c>
      <c r="I287" s="70"/>
      <c r="J287" s="70"/>
      <c r="K287" s="70">
        <f>C287/100*0.15</f>
        <v>0.15</v>
      </c>
      <c r="L287" s="11">
        <f>C287/100*0.0915163</f>
        <v>9.1516299999999995E-2</v>
      </c>
      <c r="M287" s="19" t="s">
        <v>751</v>
      </c>
    </row>
    <row r="288" spans="2:13">
      <c r="B288" s="104" t="s">
        <v>204</v>
      </c>
      <c r="C288" s="4">
        <v>14</v>
      </c>
      <c r="D288" s="5">
        <f>C288/100*126/0.14</f>
        <v>125.99999999999999</v>
      </c>
      <c r="E288" s="11">
        <f>C288/100*0/0.14</f>
        <v>0</v>
      </c>
      <c r="F288" s="11">
        <f>C288/100*14/0.14</f>
        <v>14</v>
      </c>
      <c r="G288" s="11">
        <f>C288/100*0/0.14</f>
        <v>0</v>
      </c>
      <c r="H288" s="11">
        <f t="shared" si="14"/>
        <v>0</v>
      </c>
      <c r="I288" s="70"/>
      <c r="J288" s="70"/>
      <c r="K288" s="70"/>
      <c r="L288" s="11"/>
      <c r="M288" s="3">
        <v>5</v>
      </c>
    </row>
    <row r="289" spans="2:13">
      <c r="B289" s="81" t="s">
        <v>205</v>
      </c>
      <c r="C289" s="4">
        <v>100</v>
      </c>
      <c r="D289" s="5">
        <f>C289/100*23</f>
        <v>23</v>
      </c>
      <c r="E289" s="11">
        <f>C289/100*1.3</f>
        <v>1.3</v>
      </c>
      <c r="F289" s="11">
        <f>C289/100*0.2</f>
        <v>0.2</v>
      </c>
      <c r="G289" s="11">
        <f>C289/100*5.2</f>
        <v>5.2</v>
      </c>
      <c r="H289" s="11">
        <f t="shared" si="14"/>
        <v>0</v>
      </c>
      <c r="I289" s="70">
        <f>C289/100*0.4</f>
        <v>0.4</v>
      </c>
      <c r="J289" s="70">
        <f>C289/100*1.4</f>
        <v>1.4</v>
      </c>
      <c r="K289" s="70">
        <f>C289/100*1.8</f>
        <v>1.8</v>
      </c>
      <c r="L289" s="70">
        <f>C289/100*0</f>
        <v>0</v>
      </c>
      <c r="M289" s="3">
        <v>6</v>
      </c>
    </row>
    <row r="290" spans="2:13">
      <c r="B290" s="103" t="s">
        <v>206</v>
      </c>
      <c r="C290" s="4">
        <v>100</v>
      </c>
      <c r="D290" s="5">
        <f>C290/100*20</f>
        <v>20</v>
      </c>
      <c r="E290" s="11">
        <f>C290/100*0.9</f>
        <v>0.9</v>
      </c>
      <c r="F290" s="11">
        <f>C290/100*1.2</f>
        <v>1.2</v>
      </c>
      <c r="G290" s="11">
        <f>C290/100*4.6</f>
        <v>4.5999999999999996</v>
      </c>
      <c r="H290" s="11">
        <f t="shared" si="14"/>
        <v>0</v>
      </c>
      <c r="I290" s="70">
        <f>C290/100*0.5</f>
        <v>0.5</v>
      </c>
      <c r="J290" s="70">
        <f>C290/100*1.5</f>
        <v>1.5</v>
      </c>
      <c r="K290" s="70">
        <f>C290/100*2</f>
        <v>2</v>
      </c>
      <c r="L290" s="70">
        <f>C290/100*0</f>
        <v>0</v>
      </c>
      <c r="M290" s="3">
        <v>6</v>
      </c>
    </row>
    <row r="291" spans="2:13">
      <c r="B291" s="104" t="s">
        <v>207</v>
      </c>
      <c r="C291" s="4">
        <v>100</v>
      </c>
      <c r="D291" s="5">
        <f>C291/100*433</f>
        <v>433</v>
      </c>
      <c r="E291" s="11">
        <f>C291/100*4</f>
        <v>4</v>
      </c>
      <c r="F291" s="11">
        <f>C291/100*11.7</f>
        <v>11.7</v>
      </c>
      <c r="G291" s="11">
        <f>C291/100*77.9</f>
        <v>77.900000000000006</v>
      </c>
      <c r="H291" s="11">
        <f t="shared" si="14"/>
        <v>0</v>
      </c>
      <c r="I291" s="70"/>
      <c r="J291" s="70"/>
      <c r="K291" s="70"/>
      <c r="L291" s="11">
        <f>C291/100*0.3</f>
        <v>0.3</v>
      </c>
      <c r="M291" s="3" t="s">
        <v>748</v>
      </c>
    </row>
    <row r="292" spans="2:13">
      <c r="B292" s="104" t="s">
        <v>208</v>
      </c>
      <c r="C292" s="4">
        <v>100</v>
      </c>
      <c r="D292" s="5">
        <f>C292/100*355</f>
        <v>355</v>
      </c>
      <c r="E292" s="11">
        <f>C292/100*17.9</f>
        <v>17.899999999999999</v>
      </c>
      <c r="F292" s="11">
        <f>C292/100*27.7</f>
        <v>27.7</v>
      </c>
      <c r="G292" s="11">
        <f>C292/100*5.3</f>
        <v>5.3</v>
      </c>
      <c r="H292" s="11">
        <f>C292/100*75</f>
        <v>75</v>
      </c>
      <c r="I292" s="70">
        <f>C292/100*0.1</f>
        <v>0.1</v>
      </c>
      <c r="J292" s="70">
        <f>C292/100*0.3</f>
        <v>0.3</v>
      </c>
      <c r="K292" s="70">
        <f>C292/100*0.4</f>
        <v>0.4</v>
      </c>
      <c r="L292" s="70">
        <f>C292/100*1.7</f>
        <v>1.7</v>
      </c>
      <c r="M292" s="3">
        <v>3</v>
      </c>
    </row>
    <row r="293" spans="2:13">
      <c r="B293" s="81" t="s">
        <v>1074</v>
      </c>
      <c r="C293" s="4">
        <v>100</v>
      </c>
      <c r="D293" s="5">
        <f>C293/100*185</f>
        <v>185</v>
      </c>
      <c r="E293" s="11">
        <f>C293/100*4.33</f>
        <v>4.33</v>
      </c>
      <c r="F293" s="11">
        <f>C293/100*5.73</f>
        <v>5.73</v>
      </c>
      <c r="G293" s="11">
        <f>C293/100*27.06</f>
        <v>27.06</v>
      </c>
      <c r="H293" s="11">
        <f>C293/100*0</f>
        <v>0</v>
      </c>
      <c r="I293" s="70"/>
      <c r="J293" s="70"/>
      <c r="K293" s="70">
        <f>C293/100*0.5</f>
        <v>0.5</v>
      </c>
      <c r="L293" s="11">
        <f>C293/100*0.6163118</f>
        <v>0.61631179999999997</v>
      </c>
      <c r="M293" s="3" t="s">
        <v>754</v>
      </c>
    </row>
    <row r="294" spans="2:13">
      <c r="B294" s="81" t="s">
        <v>209</v>
      </c>
      <c r="C294" s="4">
        <v>100</v>
      </c>
      <c r="D294" s="5">
        <f>C294/100*269</f>
        <v>269</v>
      </c>
      <c r="E294" s="11">
        <f>C294/100*15.2</f>
        <v>15.2</v>
      </c>
      <c r="F294" s="11">
        <f>C294/100*21.7</f>
        <v>21.7</v>
      </c>
      <c r="G294" s="11">
        <f>C294/100*0.1</f>
        <v>0.1</v>
      </c>
      <c r="H294" s="11">
        <f>C294/100*100</f>
        <v>100</v>
      </c>
      <c r="I294" s="70"/>
      <c r="J294" s="70"/>
      <c r="K294" s="70"/>
      <c r="L294" s="70">
        <f>C294/100*0.2</f>
        <v>0.2</v>
      </c>
      <c r="M294" s="3">
        <v>3</v>
      </c>
    </row>
    <row r="295" spans="2:13">
      <c r="B295" s="103" t="s">
        <v>210</v>
      </c>
      <c r="C295" s="10">
        <v>100</v>
      </c>
      <c r="D295" s="11">
        <f>C295/100*287</f>
        <v>287</v>
      </c>
      <c r="E295" s="11">
        <f>C295/100*9.9</f>
        <v>9.9</v>
      </c>
      <c r="F295" s="11">
        <f>C295/100*26.1</f>
        <v>26.1</v>
      </c>
      <c r="G295" s="11">
        <f>C295/100*0</f>
        <v>0</v>
      </c>
      <c r="H295" s="11">
        <f>C295/100*210</f>
        <v>210</v>
      </c>
      <c r="I295" s="70"/>
      <c r="J295" s="70"/>
      <c r="K295" s="70"/>
      <c r="L295" s="70">
        <f>C295/100*0.2</f>
        <v>0.2</v>
      </c>
      <c r="M295" s="3">
        <v>3</v>
      </c>
    </row>
    <row r="296" spans="2:13">
      <c r="B296" s="81" t="s">
        <v>211</v>
      </c>
      <c r="C296" s="4">
        <v>100</v>
      </c>
      <c r="D296" s="5">
        <f>C296/100*142</f>
        <v>142</v>
      </c>
      <c r="E296" s="11">
        <f>C296/100*16.5</f>
        <v>16.5</v>
      </c>
      <c r="F296" s="11">
        <f>C296/100*7.6</f>
        <v>7.6</v>
      </c>
      <c r="G296" s="11">
        <f>C296/100*0.1</f>
        <v>0.1</v>
      </c>
      <c r="H296" s="11">
        <f>C296/100*110</f>
        <v>110</v>
      </c>
      <c r="I296" s="70"/>
      <c r="J296" s="70"/>
      <c r="K296" s="70"/>
      <c r="L296" s="70">
        <f>C296/100*0.2</f>
        <v>0.2</v>
      </c>
      <c r="M296" s="3">
        <v>3</v>
      </c>
    </row>
    <row r="297" spans="2:13">
      <c r="B297" s="81" t="s">
        <v>212</v>
      </c>
      <c r="C297" s="4">
        <v>100</v>
      </c>
      <c r="D297" s="5">
        <f>C297/100*371</f>
        <v>371</v>
      </c>
      <c r="E297" s="11">
        <f>C297/100*14.4</f>
        <v>14.4</v>
      </c>
      <c r="F297" s="11">
        <f>C297/100*32.9</f>
        <v>32.9</v>
      </c>
      <c r="G297" s="11">
        <f>C297/100*0.2</f>
        <v>0.2</v>
      </c>
      <c r="H297" s="11">
        <f>C297/100*67</f>
        <v>67</v>
      </c>
      <c r="I297" s="70"/>
      <c r="J297" s="70"/>
      <c r="K297" s="70"/>
      <c r="L297" s="70">
        <f>C297/100*0.1</f>
        <v>0.1</v>
      </c>
      <c r="M297" s="3">
        <v>3</v>
      </c>
    </row>
    <row r="298" spans="2:13">
      <c r="B298" s="81" t="s">
        <v>783</v>
      </c>
      <c r="C298" s="4">
        <v>100</v>
      </c>
      <c r="D298" s="5">
        <f>C298/100*224</f>
        <v>224</v>
      </c>
      <c r="E298" s="11">
        <f>C298/100*19</f>
        <v>19</v>
      </c>
      <c r="F298" s="11">
        <f>C298/100*15.1</f>
        <v>15.1</v>
      </c>
      <c r="G298" s="11">
        <f>C298/100*0.5</f>
        <v>0.5</v>
      </c>
      <c r="H298" s="11">
        <f>C298/100*67</f>
        <v>67</v>
      </c>
      <c r="I298" s="70"/>
      <c r="J298" s="70"/>
      <c r="K298" s="70"/>
      <c r="L298" s="70">
        <f>C298/100*0.1245639</f>
        <v>0.12456390000000001</v>
      </c>
      <c r="M298" s="3">
        <v>3</v>
      </c>
    </row>
    <row r="299" spans="2:13">
      <c r="B299" s="81" t="s">
        <v>1084</v>
      </c>
      <c r="C299" s="4">
        <v>100</v>
      </c>
      <c r="D299" s="5">
        <f>C299/100*411</f>
        <v>411</v>
      </c>
      <c r="E299" s="11">
        <f>C299/100*13.8</f>
        <v>13.8</v>
      </c>
      <c r="F299" s="11">
        <f>C299/100*37.4</f>
        <v>37.4</v>
      </c>
      <c r="G299" s="11">
        <f>C299/100*0.2</f>
        <v>0.2</v>
      </c>
      <c r="H299" s="11">
        <f>C299/100*89</f>
        <v>89</v>
      </c>
      <c r="I299" s="70"/>
      <c r="J299" s="70"/>
      <c r="K299" s="70"/>
      <c r="L299" s="11">
        <f>C299/100*0.1</f>
        <v>0.1</v>
      </c>
      <c r="M299" s="3">
        <v>3</v>
      </c>
    </row>
    <row r="300" spans="2:13">
      <c r="B300" s="104" t="s">
        <v>792</v>
      </c>
      <c r="C300" s="4">
        <v>100</v>
      </c>
      <c r="D300" s="5">
        <f>C300/100*67</f>
        <v>67</v>
      </c>
      <c r="E300" s="11">
        <f>C300/100*3.3</f>
        <v>3.3</v>
      </c>
      <c r="F300" s="11">
        <f>C300/100*3.8</f>
        <v>3.8</v>
      </c>
      <c r="G300" s="11">
        <f>C300/100*4.8</f>
        <v>4.8</v>
      </c>
      <c r="H300" s="11">
        <f>C300/100*12</f>
        <v>12</v>
      </c>
      <c r="I300" s="70"/>
      <c r="J300" s="70"/>
      <c r="K300" s="70"/>
      <c r="L300" s="11">
        <f>C300/100*0.1042269</f>
        <v>0.1042269</v>
      </c>
      <c r="M300" s="3">
        <v>4</v>
      </c>
    </row>
    <row r="301" spans="2:13">
      <c r="B301" s="104" t="s">
        <v>787</v>
      </c>
      <c r="C301" s="4">
        <v>206</v>
      </c>
      <c r="D301" s="5">
        <f>C301/100*138/2.06</f>
        <v>138</v>
      </c>
      <c r="E301" s="11">
        <f>C301/100*6.8/2.06</f>
        <v>6.8</v>
      </c>
      <c r="F301" s="11">
        <f>C301/100*7.83/2.06</f>
        <v>7.8299999999999992</v>
      </c>
      <c r="G301" s="11">
        <f>C301/100*9.89/2.06</f>
        <v>9.89</v>
      </c>
      <c r="H301" s="11">
        <f>C301/100*24.7/2.06</f>
        <v>24.7</v>
      </c>
      <c r="I301" s="70"/>
      <c r="J301" s="70"/>
      <c r="K301" s="70"/>
      <c r="L301" s="11">
        <f>C301/100*0.2147075/2.06</f>
        <v>0.2147075</v>
      </c>
      <c r="M301" s="3">
        <v>4</v>
      </c>
    </row>
    <row r="302" spans="2:13">
      <c r="B302" s="81" t="s">
        <v>213</v>
      </c>
      <c r="C302" s="4">
        <v>200</v>
      </c>
      <c r="D302" s="5">
        <f>C302/100*66.5</f>
        <v>133</v>
      </c>
      <c r="E302" s="11">
        <f>C302/100*3.25</f>
        <v>6.5</v>
      </c>
      <c r="F302" s="11">
        <f>C302/100*3.8</f>
        <v>7.6</v>
      </c>
      <c r="G302" s="11">
        <f>C302/100*4.8</f>
        <v>9.6</v>
      </c>
      <c r="H302" s="11">
        <f>C302/100*24/2</f>
        <v>24</v>
      </c>
      <c r="I302" s="70"/>
      <c r="J302" s="70"/>
      <c r="K302" s="70"/>
      <c r="L302" s="70">
        <f>C302/100*0.108</f>
        <v>0.216</v>
      </c>
      <c r="M302" s="3">
        <v>4</v>
      </c>
    </row>
    <row r="303" spans="2:13">
      <c r="B303" s="81" t="s">
        <v>214</v>
      </c>
      <c r="C303" s="4">
        <v>200</v>
      </c>
      <c r="D303" s="5">
        <f>C303/100*69.5</f>
        <v>139</v>
      </c>
      <c r="E303" s="11">
        <f>C303/100*3.4</f>
        <v>6.8</v>
      </c>
      <c r="F303" s="11">
        <f>C303/100*4.05</f>
        <v>8.1</v>
      </c>
      <c r="G303" s="11">
        <f>C303/100*4.85</f>
        <v>9.6999999999999993</v>
      </c>
      <c r="H303" s="11">
        <f>C303/100*24/2</f>
        <v>24</v>
      </c>
      <c r="I303" s="70"/>
      <c r="J303" s="70"/>
      <c r="K303" s="70"/>
      <c r="L303" s="70">
        <f>C303/100*0.09914</f>
        <v>0.19828000000000001</v>
      </c>
      <c r="M303" s="3">
        <v>4</v>
      </c>
    </row>
    <row r="304" spans="2:13">
      <c r="B304" s="104" t="s">
        <v>215</v>
      </c>
      <c r="C304" s="4">
        <v>80</v>
      </c>
      <c r="D304" s="5">
        <f>C304/100*80/0.8</f>
        <v>80</v>
      </c>
      <c r="E304" s="11">
        <f>C304/100*1/0.8</f>
        <v>1</v>
      </c>
      <c r="F304" s="11">
        <f>C304/100*2.7/0.8</f>
        <v>2.7</v>
      </c>
      <c r="G304" s="11">
        <f>C304/100*12.9/0.8</f>
        <v>12.9</v>
      </c>
      <c r="H304" s="11">
        <f>C304/100*0</f>
        <v>0</v>
      </c>
      <c r="I304" s="70"/>
      <c r="J304" s="70"/>
      <c r="K304" s="70"/>
      <c r="L304" s="70"/>
      <c r="M304" s="19" t="s">
        <v>755</v>
      </c>
    </row>
    <row r="305" spans="2:13">
      <c r="B305" s="104" t="s">
        <v>216</v>
      </c>
      <c r="C305" s="4">
        <v>100</v>
      </c>
      <c r="D305" s="5">
        <f>C305/100*257</f>
        <v>257</v>
      </c>
      <c r="E305" s="11">
        <f>C305/100*1.3</f>
        <v>1.3</v>
      </c>
      <c r="F305" s="11">
        <f>C305/100*0.2</f>
        <v>0.2</v>
      </c>
      <c r="G305" s="11">
        <f>C305/100*62.5</f>
        <v>62.5</v>
      </c>
      <c r="H305" s="11">
        <f>C305/100*0</f>
        <v>0</v>
      </c>
      <c r="I305" s="70">
        <f>C305/100*0</f>
        <v>0</v>
      </c>
      <c r="J305" s="70">
        <f>C305/100*0.1</f>
        <v>0.1</v>
      </c>
      <c r="K305" s="70">
        <f>C305/100*0.1</f>
        <v>0.1</v>
      </c>
      <c r="L305" s="11">
        <f>C305/100*0.002542121</f>
        <v>2.5421210000000001E-3</v>
      </c>
      <c r="M305" s="19" t="s">
        <v>751</v>
      </c>
    </row>
    <row r="306" spans="2:13">
      <c r="B306" s="104" t="s">
        <v>217</v>
      </c>
      <c r="C306" s="4">
        <v>100</v>
      </c>
      <c r="D306" s="5">
        <f>C306/100*287</f>
        <v>287</v>
      </c>
      <c r="E306" s="11">
        <f>C306/100*9.9</f>
        <v>9.9</v>
      </c>
      <c r="F306" s="11">
        <f>C306/100*26.1</f>
        <v>26.1</v>
      </c>
      <c r="G306" s="11">
        <f>C306/100*0</f>
        <v>0</v>
      </c>
      <c r="H306" s="11">
        <f>C306/100*210</f>
        <v>210</v>
      </c>
      <c r="I306" s="70"/>
      <c r="J306" s="70"/>
      <c r="K306" s="70"/>
      <c r="L306" s="70">
        <f>C306/100*0.2</f>
        <v>0.2</v>
      </c>
      <c r="M306" s="3">
        <v>3</v>
      </c>
    </row>
    <row r="307" spans="2:13">
      <c r="B307" s="81" t="s">
        <v>218</v>
      </c>
      <c r="C307" s="4">
        <v>100</v>
      </c>
      <c r="D307" s="5">
        <f>C307/100*14</f>
        <v>14</v>
      </c>
      <c r="E307" s="11">
        <f>C307/100*1</f>
        <v>1</v>
      </c>
      <c r="F307" s="11">
        <f>C307/100*0.1</f>
        <v>0.1</v>
      </c>
      <c r="G307" s="11">
        <f>C307/100*3</f>
        <v>3</v>
      </c>
      <c r="H307" s="11">
        <f>C307/100*0</f>
        <v>0</v>
      </c>
      <c r="I307" s="70">
        <f>C307/100*0.2</f>
        <v>0.2</v>
      </c>
      <c r="J307" s="70">
        <f>C307/100*0.9</f>
        <v>0.9</v>
      </c>
      <c r="K307" s="70">
        <f>C307/100*1.1</f>
        <v>1.1000000000000001</v>
      </c>
      <c r="L307" s="70">
        <f>C307/100*0</f>
        <v>0</v>
      </c>
      <c r="M307" s="3">
        <v>6</v>
      </c>
    </row>
    <row r="308" spans="2:13">
      <c r="B308" s="80" t="s">
        <v>219</v>
      </c>
      <c r="C308" s="4">
        <v>100</v>
      </c>
      <c r="D308" s="5">
        <f>C308/100*42</f>
        <v>42</v>
      </c>
      <c r="E308" s="11">
        <f>C308/100*1.2</f>
        <v>1.2</v>
      </c>
      <c r="F308" s="11">
        <f>C308/100*0.2</f>
        <v>0.2</v>
      </c>
      <c r="G308" s="11">
        <f>C308/100*1.6</f>
        <v>1.6</v>
      </c>
      <c r="H308" s="11">
        <f>C308/100*0</f>
        <v>0</v>
      </c>
      <c r="I308" s="70"/>
      <c r="J308" s="70"/>
      <c r="K308" s="70">
        <f>C308/100*0.5</f>
        <v>0.5</v>
      </c>
      <c r="L308" s="11">
        <f>C308/100*2.7963331</f>
        <v>2.7963331</v>
      </c>
      <c r="M308" s="19" t="s">
        <v>755</v>
      </c>
    </row>
    <row r="309" spans="2:13">
      <c r="B309" s="80" t="s">
        <v>220</v>
      </c>
      <c r="C309" s="4">
        <v>100</v>
      </c>
      <c r="D309" s="5">
        <f>C309/100*67</f>
        <v>67</v>
      </c>
      <c r="E309" s="11">
        <f>C309/100*0.3</f>
        <v>0.3</v>
      </c>
      <c r="F309" s="11">
        <f>C309/100*0.1</f>
        <v>0.1</v>
      </c>
      <c r="G309" s="11">
        <f>C309/100*18.3</f>
        <v>18.3</v>
      </c>
      <c r="H309" s="11">
        <f>C309/100*0</f>
        <v>0</v>
      </c>
      <c r="I309" s="70">
        <f>C309/100*0.3</f>
        <v>0.3</v>
      </c>
      <c r="J309" s="70">
        <f>C309/100*1.4</f>
        <v>1.4</v>
      </c>
      <c r="K309" s="70">
        <f>C309/100*1.7</f>
        <v>1.7</v>
      </c>
      <c r="L309" s="11">
        <f>C309/100*1.1185332</f>
        <v>1.1185331999999999</v>
      </c>
      <c r="M309" s="19" t="s">
        <v>755</v>
      </c>
    </row>
    <row r="310" spans="2:13">
      <c r="B310" s="80" t="s">
        <v>221</v>
      </c>
      <c r="C310" s="4">
        <v>100</v>
      </c>
      <c r="D310" s="5">
        <f>C310/100*71</f>
        <v>71</v>
      </c>
      <c r="E310" s="11">
        <f>C310/100*1.6</f>
        <v>1.6</v>
      </c>
      <c r="F310" s="11">
        <f>C310/100*0.2</f>
        <v>0.2</v>
      </c>
      <c r="G310" s="11">
        <f>C310/100*3.1</f>
        <v>3.1</v>
      </c>
      <c r="H310" s="11">
        <f>C310/100*0</f>
        <v>0</v>
      </c>
      <c r="I310" s="70"/>
      <c r="J310" s="70"/>
      <c r="K310" s="70">
        <f>C310/100*0.6</f>
        <v>0.6</v>
      </c>
      <c r="L310" s="11">
        <f>C310/100*2.7963331</f>
        <v>2.7963331</v>
      </c>
      <c r="M310" s="19" t="s">
        <v>755</v>
      </c>
    </row>
    <row r="311" spans="2:13">
      <c r="B311" s="104" t="s">
        <v>222</v>
      </c>
      <c r="C311" s="4">
        <v>100</v>
      </c>
      <c r="D311" s="5">
        <f>C311/100*132</f>
        <v>132</v>
      </c>
      <c r="E311" s="11">
        <f>C311/100*19.6</f>
        <v>19.600000000000001</v>
      </c>
      <c r="F311" s="11">
        <f>C311/100*3.7</f>
        <v>3.7</v>
      </c>
      <c r="G311" s="11">
        <f>C311/100*3.7</f>
        <v>3.7</v>
      </c>
      <c r="H311" s="11">
        <f>C311/100*240</f>
        <v>240</v>
      </c>
      <c r="I311" s="70"/>
      <c r="J311" s="70"/>
      <c r="K311" s="70"/>
      <c r="L311" s="70">
        <f>C311/100*0.1</f>
        <v>0.1</v>
      </c>
      <c r="M311" s="3">
        <v>3</v>
      </c>
    </row>
    <row r="312" spans="2:13">
      <c r="B312" s="104" t="s">
        <v>223</v>
      </c>
      <c r="C312" s="4">
        <v>100</v>
      </c>
      <c r="D312" s="5">
        <f>C312/100*132</f>
        <v>132</v>
      </c>
      <c r="E312" s="11">
        <f>C312/100*19.6</f>
        <v>19.600000000000001</v>
      </c>
      <c r="F312" s="11">
        <f>C312/100*3.7</f>
        <v>3.7</v>
      </c>
      <c r="G312" s="11">
        <f>C312/100*3.7</f>
        <v>3.7</v>
      </c>
      <c r="H312" s="11">
        <f>C312/100*240</f>
        <v>240</v>
      </c>
      <c r="I312" s="70"/>
      <c r="J312" s="70"/>
      <c r="K312" s="70"/>
      <c r="L312" s="70">
        <f>C312/100*0.1</f>
        <v>0.1</v>
      </c>
      <c r="M312" s="3">
        <v>3</v>
      </c>
    </row>
    <row r="313" spans="2:13">
      <c r="B313" s="104" t="s">
        <v>1150</v>
      </c>
      <c r="C313" s="4">
        <v>100</v>
      </c>
      <c r="D313" s="5">
        <f>C313/100*197</f>
        <v>197</v>
      </c>
      <c r="E313" s="11">
        <f>C313/100*7.1</f>
        <v>7.1</v>
      </c>
      <c r="F313" s="11">
        <f>C313/100*8.1</f>
        <v>8.1</v>
      </c>
      <c r="G313" s="11">
        <f>C313/100*23.8</f>
        <v>23.8</v>
      </c>
      <c r="H313" s="11">
        <f>C313/100*17</f>
        <v>17</v>
      </c>
      <c r="I313" s="70"/>
      <c r="J313" s="70"/>
      <c r="K313" s="70"/>
      <c r="L313" s="70">
        <f>C313/100*1.2456392</f>
        <v>1.2456392000000001</v>
      </c>
      <c r="M313" s="19" t="s">
        <v>755</v>
      </c>
    </row>
    <row r="314" spans="2:13">
      <c r="B314" s="104" t="s">
        <v>224</v>
      </c>
      <c r="C314" s="4">
        <v>67</v>
      </c>
      <c r="D314" s="5">
        <f>C314/100*213/0.67</f>
        <v>213</v>
      </c>
      <c r="E314" s="11">
        <f>C314/100*6.6/0.67</f>
        <v>6.5999999999999988</v>
      </c>
      <c r="F314" s="11">
        <f>C314/100*13.5/0.67</f>
        <v>13.499999999999998</v>
      </c>
      <c r="G314" s="11">
        <f>C314/100*15/0.67</f>
        <v>15</v>
      </c>
      <c r="H314" s="11">
        <f>C314/100*11.4/0.67</f>
        <v>11.4</v>
      </c>
      <c r="I314" s="70"/>
      <c r="J314" s="70"/>
      <c r="K314" s="70"/>
      <c r="L314" s="70">
        <f>C314/100*1.0371852/0.67</f>
        <v>1.0371851999999999</v>
      </c>
      <c r="M314" s="19" t="s">
        <v>755</v>
      </c>
    </row>
    <row r="315" spans="2:13">
      <c r="B315" s="104" t="s">
        <v>225</v>
      </c>
      <c r="C315" s="4">
        <v>100</v>
      </c>
      <c r="D315" s="5">
        <f>C315/100*94</f>
        <v>94</v>
      </c>
      <c r="E315" s="11">
        <f>C315/100*0.3</f>
        <v>0.3</v>
      </c>
      <c r="F315" s="11">
        <f>C315/100*0</f>
        <v>0</v>
      </c>
      <c r="G315" s="11">
        <f>C315/100*4.2</f>
        <v>4.2</v>
      </c>
      <c r="H315" s="11">
        <f t="shared" ref="H315:H321" si="15">C315/100*0</f>
        <v>0</v>
      </c>
      <c r="I315" s="70"/>
      <c r="J315" s="70"/>
      <c r="K315" s="70"/>
      <c r="L315" s="11">
        <f>C315/100*0.0050842</f>
        <v>5.0841999999999997E-3</v>
      </c>
      <c r="M315" s="3" t="s">
        <v>748</v>
      </c>
    </row>
    <row r="316" spans="2:13">
      <c r="B316" s="104" t="s">
        <v>897</v>
      </c>
      <c r="C316" s="4">
        <v>100</v>
      </c>
      <c r="D316" s="5">
        <f>C316/100*332</f>
        <v>332</v>
      </c>
      <c r="E316" s="11">
        <f>C316/100*0.1</f>
        <v>0.1</v>
      </c>
      <c r="F316" s="11">
        <f>C316/100*0.2</f>
        <v>0.2</v>
      </c>
      <c r="G316" s="11">
        <f>C316/100*82.4</f>
        <v>82.4</v>
      </c>
      <c r="H316" s="11">
        <f t="shared" si="15"/>
        <v>0</v>
      </c>
      <c r="I316" s="70"/>
      <c r="J316" s="70"/>
      <c r="K316" s="70">
        <f>C316/100*1</f>
        <v>1</v>
      </c>
      <c r="L316" s="11">
        <f>C316/100*0.022879</f>
        <v>2.2879E-2</v>
      </c>
      <c r="M316" s="19" t="s">
        <v>751</v>
      </c>
    </row>
    <row r="317" spans="2:13">
      <c r="B317" s="104" t="s">
        <v>226</v>
      </c>
      <c r="C317" s="4">
        <v>100</v>
      </c>
      <c r="D317" s="5">
        <f>C317/100*332</f>
        <v>332</v>
      </c>
      <c r="E317" s="11">
        <f>C317/100*0.1</f>
        <v>0.1</v>
      </c>
      <c r="F317" s="11">
        <f>C317/100*0.2</f>
        <v>0.2</v>
      </c>
      <c r="G317" s="11">
        <f>C317/100*82.4</f>
        <v>82.4</v>
      </c>
      <c r="H317" s="11">
        <f t="shared" si="15"/>
        <v>0</v>
      </c>
      <c r="I317" s="70"/>
      <c r="J317" s="70"/>
      <c r="K317" s="70">
        <f>C317/100*1</f>
        <v>1</v>
      </c>
      <c r="L317" s="11">
        <f>C317/100*0.022879</f>
        <v>2.2879E-2</v>
      </c>
      <c r="M317" s="19" t="s">
        <v>751</v>
      </c>
    </row>
    <row r="318" spans="2:13">
      <c r="B318" s="104" t="s">
        <v>227</v>
      </c>
      <c r="C318" s="4">
        <v>100</v>
      </c>
      <c r="D318" s="5">
        <f>C318/100*286</f>
        <v>286</v>
      </c>
      <c r="E318" s="11">
        <f>C318/100*7.3</f>
        <v>7.3</v>
      </c>
      <c r="F318" s="11">
        <f>C318/100*0.2</f>
        <v>0.2</v>
      </c>
      <c r="G318" s="11">
        <f>C318/100*76.3</f>
        <v>76.3</v>
      </c>
      <c r="H318" s="11">
        <f t="shared" si="15"/>
        <v>0</v>
      </c>
      <c r="I318" s="70"/>
      <c r="J318" s="70"/>
      <c r="K318" s="70">
        <f>C318/100*25.3</f>
        <v>25.3</v>
      </c>
      <c r="L318" s="11">
        <f>C318/100*0.2491278</f>
        <v>0.24912780000000001</v>
      </c>
      <c r="M318" s="3">
        <v>6</v>
      </c>
    </row>
    <row r="319" spans="2:13">
      <c r="B319" s="104" t="s">
        <v>227</v>
      </c>
      <c r="C319" s="4">
        <v>100</v>
      </c>
      <c r="D319" s="5">
        <f>C319/100*279</f>
        <v>279</v>
      </c>
      <c r="E319" s="11">
        <f>C319/100*5.7</f>
        <v>5.7</v>
      </c>
      <c r="F319" s="11">
        <f>C319/100*0.5</f>
        <v>0.5</v>
      </c>
      <c r="G319" s="11">
        <f>C319/100*67.5</f>
        <v>67.5</v>
      </c>
      <c r="H319" s="11">
        <f t="shared" si="15"/>
        <v>0</v>
      </c>
      <c r="I319" s="70">
        <f>C319/100*3.6</f>
        <v>3.6</v>
      </c>
      <c r="J319" s="70">
        <f>C319/100*17.1</f>
        <v>17.100000000000001</v>
      </c>
      <c r="K319" s="70">
        <f>C319/100*20.7</f>
        <v>20.7</v>
      </c>
      <c r="L319" s="11">
        <f>C319/100*0.6863726</f>
        <v>0.6863726</v>
      </c>
      <c r="M319" s="3">
        <v>6</v>
      </c>
    </row>
    <row r="320" spans="2:13">
      <c r="B320" s="104" t="s">
        <v>961</v>
      </c>
      <c r="C320" s="4">
        <v>100</v>
      </c>
      <c r="D320" s="5">
        <f>C320/100*278</f>
        <v>278</v>
      </c>
      <c r="E320" s="11">
        <f>C320/100*6.3</f>
        <v>6.3</v>
      </c>
      <c r="F320" s="11">
        <f>C320/100*0.8</f>
        <v>0.8</v>
      </c>
      <c r="G320" s="11">
        <f>C320/100*72.6</f>
        <v>72.599999999999994</v>
      </c>
      <c r="H320" s="11">
        <f t="shared" si="15"/>
        <v>0</v>
      </c>
      <c r="I320" s="70"/>
      <c r="J320" s="70"/>
      <c r="K320" s="70">
        <f>C320/100*22.3</f>
        <v>22.3</v>
      </c>
      <c r="L320" s="11">
        <f>C320/100*0.4321605</f>
        <v>0.4321605</v>
      </c>
      <c r="M320" s="3">
        <v>6</v>
      </c>
    </row>
    <row r="321" spans="2:13">
      <c r="B321" s="104" t="s">
        <v>228</v>
      </c>
      <c r="C321" s="4">
        <v>100</v>
      </c>
      <c r="D321" s="5">
        <f>C321/100*71</f>
        <v>71</v>
      </c>
      <c r="E321" s="11">
        <f>C321/100*0.5</f>
        <v>0.5</v>
      </c>
      <c r="F321" s="11">
        <f>C321/100*0.7</f>
        <v>0.7</v>
      </c>
      <c r="G321" s="11">
        <f>C321/100*17.5</f>
        <v>17.5</v>
      </c>
      <c r="H321" s="11">
        <f t="shared" si="15"/>
        <v>0</v>
      </c>
      <c r="I321" s="70">
        <f>C321/100*0.7</f>
        <v>0.7</v>
      </c>
      <c r="J321" s="70">
        <f>C321/100*1.8</f>
        <v>1.8</v>
      </c>
      <c r="K321" s="70">
        <f>C321/100*2.5</f>
        <v>2.5</v>
      </c>
      <c r="L321" s="11">
        <f>C321/100*0</f>
        <v>0</v>
      </c>
      <c r="M321" s="3">
        <v>2</v>
      </c>
    </row>
    <row r="322" spans="2:13">
      <c r="B322" s="104" t="s">
        <v>965</v>
      </c>
      <c r="C322" s="4">
        <v>100</v>
      </c>
      <c r="D322" s="5">
        <f>C322/100*262</f>
        <v>262</v>
      </c>
      <c r="E322" s="11">
        <f>C322/100*13.6</f>
        <v>13.6</v>
      </c>
      <c r="F322" s="11">
        <f>C322/100*21.7</f>
        <v>21.7</v>
      </c>
      <c r="G322" s="11">
        <f>C322/100*0</f>
        <v>0</v>
      </c>
      <c r="H322" s="11">
        <f>C322/100*74</f>
        <v>74</v>
      </c>
      <c r="I322" s="70"/>
      <c r="J322" s="70"/>
      <c r="K322" s="70"/>
      <c r="L322" s="11">
        <f>C322/100*0.2</f>
        <v>0.2</v>
      </c>
      <c r="M322" s="3">
        <v>3</v>
      </c>
    </row>
    <row r="323" spans="2:13">
      <c r="B323" s="104" t="s">
        <v>831</v>
      </c>
      <c r="C323" s="4">
        <v>100</v>
      </c>
      <c r="D323" s="5">
        <f>C323/100*200</f>
        <v>200</v>
      </c>
      <c r="E323" s="11">
        <f>C323/100*19.5</f>
        <v>19.5</v>
      </c>
      <c r="F323" s="11">
        <f>C323/100*12.5</f>
        <v>12.5</v>
      </c>
      <c r="G323" s="11">
        <f>C323/100*0</f>
        <v>0</v>
      </c>
      <c r="H323" s="11">
        <f>C323/100*54</f>
        <v>54</v>
      </c>
      <c r="I323" s="70"/>
      <c r="J323" s="70"/>
      <c r="K323" s="70"/>
      <c r="L323" s="11">
        <f>C323/100*0.0966005</f>
        <v>9.6600500000000006E-2</v>
      </c>
      <c r="M323" s="3">
        <v>3</v>
      </c>
    </row>
    <row r="324" spans="2:13">
      <c r="B324" s="81" t="s">
        <v>229</v>
      </c>
      <c r="C324" s="4">
        <v>100</v>
      </c>
      <c r="D324" s="5">
        <f>C324/100*204</f>
        <v>204</v>
      </c>
      <c r="E324" s="11">
        <f>C324/100*19.6</f>
        <v>19.600000000000001</v>
      </c>
      <c r="F324" s="11">
        <f>C324/100*12.8</f>
        <v>12.8</v>
      </c>
      <c r="G324" s="11">
        <f>C324/100*0.3</f>
        <v>0.3</v>
      </c>
      <c r="H324" s="11">
        <f>C324/100*60</f>
        <v>60</v>
      </c>
      <c r="I324" s="70"/>
      <c r="J324" s="70"/>
      <c r="K324" s="70"/>
      <c r="L324" s="70">
        <f>C324/100*0.1</f>
        <v>0.1</v>
      </c>
      <c r="M324" s="3">
        <v>3</v>
      </c>
    </row>
    <row r="325" spans="2:13">
      <c r="B325" s="81" t="s">
        <v>1147</v>
      </c>
      <c r="C325" s="4">
        <v>100</v>
      </c>
      <c r="D325" s="5">
        <f>C325/100*208.59</f>
        <v>208.59</v>
      </c>
      <c r="E325" s="11">
        <f>C325/100*14.27</f>
        <v>14.27</v>
      </c>
      <c r="F325" s="11">
        <f>C325/100*11.87</f>
        <v>11.87</v>
      </c>
      <c r="G325" s="11">
        <f>C325/100*9.15</f>
        <v>9.15</v>
      </c>
      <c r="H325" s="11">
        <f t="shared" ref="H325:H334" si="16">C325/100*0</f>
        <v>0</v>
      </c>
      <c r="I325" s="70"/>
      <c r="J325" s="70"/>
      <c r="K325" s="70"/>
      <c r="L325" s="11">
        <f>C325/100*0.63</f>
        <v>0.63</v>
      </c>
      <c r="M325" s="3">
        <v>3</v>
      </c>
    </row>
    <row r="326" spans="2:13">
      <c r="B326" s="104" t="s">
        <v>230</v>
      </c>
      <c r="C326" s="4">
        <v>15</v>
      </c>
      <c r="D326" s="5">
        <f>C326/100*12/0.15</f>
        <v>12</v>
      </c>
      <c r="E326" s="11">
        <f>C326/100*1.4/0.15</f>
        <v>1.4</v>
      </c>
      <c r="F326" s="11">
        <f>C326/100*0/0.15</f>
        <v>0</v>
      </c>
      <c r="G326" s="11">
        <f>C326/100*1.5/0.15</f>
        <v>1.5</v>
      </c>
      <c r="H326" s="11">
        <f t="shared" si="16"/>
        <v>0</v>
      </c>
      <c r="I326" s="70"/>
      <c r="J326" s="70"/>
      <c r="K326" s="70"/>
      <c r="L326" s="11">
        <f>C326/100*2.4/0.15</f>
        <v>2.4</v>
      </c>
      <c r="M326" s="3" t="s">
        <v>747</v>
      </c>
    </row>
    <row r="327" spans="2:13">
      <c r="B327" s="80" t="s">
        <v>231</v>
      </c>
      <c r="C327" s="4">
        <v>100</v>
      </c>
      <c r="D327" s="5">
        <f>C327/100*100</f>
        <v>100</v>
      </c>
      <c r="E327" s="11">
        <f>C327/100*4.13</f>
        <v>4.13</v>
      </c>
      <c r="F327" s="11">
        <f>C327/100*4.91</f>
        <v>4.91</v>
      </c>
      <c r="G327" s="11">
        <f>C327/100*9.26</f>
        <v>9.26</v>
      </c>
      <c r="H327" s="11">
        <f t="shared" si="16"/>
        <v>0</v>
      </c>
      <c r="I327" s="70"/>
      <c r="J327" s="70"/>
      <c r="K327" s="70">
        <f>C327/100*2.83</f>
        <v>2.83</v>
      </c>
      <c r="L327" s="11">
        <f>C327/100*0.35</f>
        <v>0.35</v>
      </c>
      <c r="M327" s="19" t="s">
        <v>753</v>
      </c>
    </row>
    <row r="328" spans="2:13">
      <c r="B328" s="104" t="s">
        <v>232</v>
      </c>
      <c r="C328" s="4">
        <v>100</v>
      </c>
      <c r="D328" s="5">
        <f>C328/100*264</f>
        <v>264</v>
      </c>
      <c r="E328" s="11">
        <f>C328/100*5.3</f>
        <v>5.3</v>
      </c>
      <c r="F328" s="11">
        <f>C328/100*0.7</f>
        <v>0.7</v>
      </c>
      <c r="G328" s="11">
        <f>C328/100*59.2</f>
        <v>59.2</v>
      </c>
      <c r="H328" s="11">
        <f t="shared" si="16"/>
        <v>0</v>
      </c>
      <c r="I328" s="70">
        <f>C328/100*0.5</f>
        <v>0.5</v>
      </c>
      <c r="J328" s="70">
        <f>C328/100*6</f>
        <v>6</v>
      </c>
      <c r="K328" s="70">
        <f>C328/100*6.5</f>
        <v>6.5</v>
      </c>
      <c r="L328" s="70">
        <f>C328/100*0.2</f>
        <v>0.2</v>
      </c>
      <c r="M328" s="19" t="s">
        <v>751</v>
      </c>
    </row>
    <row r="329" spans="2:13">
      <c r="B329" s="81" t="s">
        <v>1081</v>
      </c>
      <c r="C329" s="4">
        <v>100</v>
      </c>
      <c r="D329" s="5">
        <f>C329/100*148</f>
        <v>148</v>
      </c>
      <c r="E329" s="11">
        <f>C329/100*6.1</f>
        <v>6.1</v>
      </c>
      <c r="F329" s="11">
        <f>C329/100*0.4</f>
        <v>0.4</v>
      </c>
      <c r="G329" s="11">
        <f>C329/100*35.1</f>
        <v>35.1</v>
      </c>
      <c r="H329" s="11">
        <f t="shared" si="16"/>
        <v>0</v>
      </c>
      <c r="I329" s="70"/>
      <c r="J329" s="70"/>
      <c r="K329" s="70">
        <f>C329/100*5.5</f>
        <v>5.5</v>
      </c>
      <c r="L329" s="11">
        <f>C329/100*0.4</f>
        <v>0.4</v>
      </c>
      <c r="M329" s="19" t="s">
        <v>751</v>
      </c>
    </row>
    <row r="330" spans="2:13">
      <c r="B330" s="104" t="s">
        <v>1057</v>
      </c>
      <c r="C330" s="4">
        <v>100</v>
      </c>
      <c r="D330" s="5">
        <f>C330/100*164</f>
        <v>164</v>
      </c>
      <c r="E330" s="11">
        <f>C330/100*6.1</f>
        <v>6.1</v>
      </c>
      <c r="F330" s="11">
        <f>C330/100*0.5</f>
        <v>0.5</v>
      </c>
      <c r="G330" s="11">
        <f>C330/100*39.1</f>
        <v>39.1</v>
      </c>
      <c r="H330" s="11">
        <f t="shared" si="16"/>
        <v>0</v>
      </c>
      <c r="I330" s="70"/>
      <c r="J330" s="70"/>
      <c r="K330" s="70">
        <f>C330/100*6.2</f>
        <v>6.2</v>
      </c>
      <c r="L330" s="70">
        <f>C330/100*0.4</f>
        <v>0.4</v>
      </c>
      <c r="M330" s="19" t="s">
        <v>751</v>
      </c>
    </row>
    <row r="331" spans="2:13">
      <c r="B331" s="104" t="s">
        <v>1060</v>
      </c>
      <c r="C331" s="4">
        <v>150</v>
      </c>
      <c r="D331" s="5">
        <f>C331/100*260/1.5</f>
        <v>260</v>
      </c>
      <c r="E331" s="11">
        <f>C331/100*10.4/1.5</f>
        <v>10.4</v>
      </c>
      <c r="F331" s="11">
        <f>C331/100*0.9/1.5</f>
        <v>0.9</v>
      </c>
      <c r="G331" s="11">
        <f>C331/100*58.2/1.5</f>
        <v>58.20000000000001</v>
      </c>
      <c r="H331" s="11">
        <f t="shared" si="16"/>
        <v>0</v>
      </c>
      <c r="I331" s="70"/>
      <c r="J331" s="70"/>
      <c r="K331" s="70">
        <f>C331/100*9.3/1.5</f>
        <v>9.3000000000000007</v>
      </c>
      <c r="L331" s="11">
        <f>C331/100*0.5592666/1.5</f>
        <v>0.55926659999999995</v>
      </c>
      <c r="M331" s="19" t="s">
        <v>751</v>
      </c>
    </row>
    <row r="332" spans="2:13">
      <c r="B332" s="104" t="s">
        <v>233</v>
      </c>
      <c r="C332" s="4">
        <v>100</v>
      </c>
      <c r="D332" s="5">
        <f>C332/100*169</f>
        <v>169</v>
      </c>
      <c r="E332" s="11">
        <f>C332/100*6.1</f>
        <v>6.1</v>
      </c>
      <c r="F332" s="11">
        <f>C332/100*0.5</f>
        <v>0.5</v>
      </c>
      <c r="G332" s="11">
        <f>C332/100*32</f>
        <v>32</v>
      </c>
      <c r="H332" s="11">
        <f t="shared" si="16"/>
        <v>0</v>
      </c>
      <c r="I332" s="70"/>
      <c r="J332" s="70"/>
      <c r="K332" s="70">
        <f>C332/100*6</f>
        <v>6</v>
      </c>
      <c r="L332" s="11">
        <f>C332/100*0.3889445</f>
        <v>0.38894450000000003</v>
      </c>
      <c r="M332" s="19" t="s">
        <v>751</v>
      </c>
    </row>
    <row r="333" spans="2:13">
      <c r="B333" s="81" t="s">
        <v>234</v>
      </c>
      <c r="C333" s="4">
        <v>100</v>
      </c>
      <c r="D333" s="5">
        <f>C333/100*249</f>
        <v>249</v>
      </c>
      <c r="E333" s="11">
        <f>C333/100*8.82</f>
        <v>8.82</v>
      </c>
      <c r="F333" s="11">
        <f>C333/100*3.82</f>
        <v>3.82</v>
      </c>
      <c r="G333" s="11">
        <f>C333/100*45.56</f>
        <v>45.56</v>
      </c>
      <c r="H333" s="11">
        <f t="shared" si="16"/>
        <v>0</v>
      </c>
      <c r="I333" s="70">
        <f>C333/100*0.34</f>
        <v>0.34</v>
      </c>
      <c r="J333" s="70">
        <f>C333/100*1.62</f>
        <v>1.62</v>
      </c>
      <c r="K333" s="70">
        <f>C333/100*2.89</f>
        <v>2.89</v>
      </c>
      <c r="L333" s="70">
        <f>C333/100*1.17</f>
        <v>1.17</v>
      </c>
      <c r="M333" s="19" t="s">
        <v>751</v>
      </c>
    </row>
    <row r="334" spans="2:13">
      <c r="B334" s="104" t="s">
        <v>975</v>
      </c>
      <c r="C334" s="85">
        <v>100</v>
      </c>
      <c r="D334" s="5">
        <f>C334/100*123</f>
        <v>123</v>
      </c>
      <c r="E334" s="11">
        <f>C334/100*1.5</f>
        <v>1.5</v>
      </c>
      <c r="F334" s="11">
        <f>C334/100*3.88</f>
        <v>3.88</v>
      </c>
      <c r="G334" s="11">
        <f>C334/100*18.02</f>
        <v>18.02</v>
      </c>
      <c r="H334" s="11">
        <f t="shared" si="16"/>
        <v>0</v>
      </c>
      <c r="I334" s="70"/>
      <c r="J334" s="70"/>
      <c r="K334" s="70">
        <f>C334/100*3.45</f>
        <v>3.45</v>
      </c>
      <c r="L334" s="11">
        <f>C334/100*0.7699321</f>
        <v>0.76993210000000001</v>
      </c>
      <c r="M334" s="19" t="s">
        <v>751</v>
      </c>
    </row>
    <row r="335" spans="2:13">
      <c r="B335" s="81" t="s">
        <v>1280</v>
      </c>
      <c r="C335" s="4">
        <v>21</v>
      </c>
      <c r="D335" s="5">
        <f>C335/100*24/0.21</f>
        <v>24</v>
      </c>
      <c r="E335" s="11">
        <f>C335/100*0.5/0.21</f>
        <v>0.5</v>
      </c>
      <c r="F335" s="11">
        <f>C335/100*0/0.21</f>
        <v>0</v>
      </c>
      <c r="G335" s="11">
        <f>C335/100*5.3/0.21</f>
        <v>5.3</v>
      </c>
      <c r="H335" s="11">
        <f>C335/100*0/0.21</f>
        <v>0</v>
      </c>
      <c r="I335" s="70"/>
      <c r="J335" s="70"/>
      <c r="K335" s="70"/>
      <c r="L335" s="11">
        <f>C335/100*1.5634044/0.21</f>
        <v>1.5634044</v>
      </c>
      <c r="M335" s="19" t="s">
        <v>751</v>
      </c>
    </row>
    <row r="336" spans="2:13">
      <c r="B336" s="81" t="s">
        <v>1228</v>
      </c>
      <c r="C336" s="4">
        <v>10</v>
      </c>
      <c r="D336" s="5">
        <f>C336/100*10/0.1</f>
        <v>10</v>
      </c>
      <c r="E336" s="11">
        <f>C336/100*0.2/0.1</f>
        <v>0.20000000000000004</v>
      </c>
      <c r="F336" s="11">
        <f>C336/100*0/0.1</f>
        <v>0</v>
      </c>
      <c r="G336" s="11">
        <f>C336/100*2.3/0.1</f>
        <v>2.2999999999999998</v>
      </c>
      <c r="H336" s="11">
        <f t="shared" ref="H336:H353" si="17">C336/100*0</f>
        <v>0</v>
      </c>
      <c r="I336" s="70"/>
      <c r="J336" s="70"/>
      <c r="K336" s="70">
        <f>C336/100*0.5/0.1</f>
        <v>0.5</v>
      </c>
      <c r="L336" s="11">
        <f>C336/100*0.5846878/0.1</f>
        <v>0.58468779999999998</v>
      </c>
      <c r="M336" s="19" t="s">
        <v>751</v>
      </c>
    </row>
    <row r="337" spans="2:13">
      <c r="B337" s="104" t="s">
        <v>235</v>
      </c>
      <c r="C337" s="4">
        <v>100</v>
      </c>
      <c r="D337" s="5">
        <f>C337/100*274.3</f>
        <v>274.3</v>
      </c>
      <c r="E337" s="11">
        <f>C337/100*4.86</f>
        <v>4.8600000000000003</v>
      </c>
      <c r="F337" s="11">
        <f>C337/100*0.57</f>
        <v>0.56999999999999995</v>
      </c>
      <c r="G337" s="11">
        <f>C337/100*30.73</f>
        <v>30.73</v>
      </c>
      <c r="H337" s="11">
        <f t="shared" si="17"/>
        <v>0</v>
      </c>
      <c r="I337" s="70"/>
      <c r="J337" s="70"/>
      <c r="K337" s="70"/>
      <c r="L337" s="11">
        <f>C337/100*0.0907791</f>
        <v>9.0779100000000001E-2</v>
      </c>
      <c r="M337" s="3" t="s">
        <v>748</v>
      </c>
    </row>
    <row r="338" spans="2:13">
      <c r="B338" s="104" t="s">
        <v>236</v>
      </c>
      <c r="C338" s="4">
        <v>100</v>
      </c>
      <c r="D338" s="5">
        <f>C338/100*229</f>
        <v>229</v>
      </c>
      <c r="E338" s="11">
        <f>C338/100*4.2</f>
        <v>4.2</v>
      </c>
      <c r="F338" s="11">
        <f>C338/100*0.4</f>
        <v>0.4</v>
      </c>
      <c r="G338" s="11">
        <f>C338/100*52.1</f>
        <v>52.1</v>
      </c>
      <c r="H338" s="11">
        <f t="shared" si="17"/>
        <v>0</v>
      </c>
      <c r="I338" s="70">
        <f>C338/100*0.1</f>
        <v>0.1</v>
      </c>
      <c r="J338" s="70">
        <f>C338/100*1.9</f>
        <v>1.9</v>
      </c>
      <c r="K338" s="70">
        <f>C338/100*2</f>
        <v>2</v>
      </c>
      <c r="L338" s="11">
        <f>C338/100*0</f>
        <v>0</v>
      </c>
      <c r="M338" s="19" t="s">
        <v>751</v>
      </c>
    </row>
    <row r="339" spans="2:13">
      <c r="B339" s="104" t="s">
        <v>237</v>
      </c>
      <c r="C339" s="4">
        <v>100</v>
      </c>
      <c r="D339" s="5">
        <f>C339/100*201</f>
        <v>201</v>
      </c>
      <c r="E339" s="11">
        <f>C339/100*3.8</f>
        <v>3.8</v>
      </c>
      <c r="F339" s="11">
        <f>C339/100*0.4</f>
        <v>0.4</v>
      </c>
      <c r="G339" s="11">
        <f>C339/100*45.5</f>
        <v>45.5</v>
      </c>
      <c r="H339" s="11">
        <f t="shared" si="17"/>
        <v>0</v>
      </c>
      <c r="I339" s="70">
        <f>C339/100*0.1</f>
        <v>0.1</v>
      </c>
      <c r="J339" s="70">
        <f>C339/100*1.1</f>
        <v>1.1000000000000001</v>
      </c>
      <c r="K339" s="70">
        <f>C339/100*1.2</f>
        <v>1.2</v>
      </c>
      <c r="L339" s="70">
        <f>C339/100*0.1</f>
        <v>0.1</v>
      </c>
      <c r="M339" s="19" t="s">
        <v>751</v>
      </c>
    </row>
    <row r="340" spans="2:13">
      <c r="B340" s="104" t="s">
        <v>238</v>
      </c>
      <c r="C340" s="4">
        <v>100</v>
      </c>
      <c r="D340" s="5">
        <f>C340/100*158/0.8</f>
        <v>197.5</v>
      </c>
      <c r="E340" s="11">
        <f>C340/100*2.48/0.8</f>
        <v>3.0999999999999996</v>
      </c>
      <c r="F340" s="11">
        <f>C340/100*0.32/0.8</f>
        <v>0.39999999999999997</v>
      </c>
      <c r="G340" s="11">
        <f>C340/100*36.16/0.8</f>
        <v>45.199999999999996</v>
      </c>
      <c r="H340" s="11">
        <f t="shared" si="17"/>
        <v>0</v>
      </c>
      <c r="I340" s="70">
        <f>C340/100*0</f>
        <v>0</v>
      </c>
      <c r="J340" s="70">
        <f>C340/100*0.3</f>
        <v>0.3</v>
      </c>
      <c r="K340" s="70">
        <f>C340/100*0.3</f>
        <v>0.3</v>
      </c>
      <c r="L340" s="70">
        <f>C340/100*0.6</f>
        <v>0.6</v>
      </c>
      <c r="M340" s="19" t="s">
        <v>751</v>
      </c>
    </row>
    <row r="341" spans="2:13">
      <c r="B341" s="104" t="s">
        <v>865</v>
      </c>
      <c r="C341" s="4">
        <v>46</v>
      </c>
      <c r="D341" s="5">
        <f>C341/100*125/0.46</f>
        <v>125</v>
      </c>
      <c r="E341" s="11">
        <f>C341/100*1.2/0.46</f>
        <v>1.2</v>
      </c>
      <c r="F341" s="11">
        <f>C341/100*0.1/0.46</f>
        <v>0.1</v>
      </c>
      <c r="G341" s="11">
        <f>C341/100*30.2/0.46</f>
        <v>30.2</v>
      </c>
      <c r="H341" s="11">
        <f t="shared" si="17"/>
        <v>0</v>
      </c>
      <c r="I341" s="70"/>
      <c r="J341" s="70"/>
      <c r="K341" s="70"/>
      <c r="L341" s="11">
        <f>C341/100*0.076772/0.46</f>
        <v>7.6772000000000007E-2</v>
      </c>
      <c r="M341" s="19" t="s">
        <v>751</v>
      </c>
    </row>
    <row r="342" spans="2:13">
      <c r="B342" s="104" t="s">
        <v>239</v>
      </c>
      <c r="C342" s="4">
        <v>100</v>
      </c>
      <c r="D342" s="5">
        <f>C342/100*52</f>
        <v>52</v>
      </c>
      <c r="E342" s="11">
        <f>C342/100*1</f>
        <v>1</v>
      </c>
      <c r="F342" s="11">
        <f>C342/100*0.1</f>
        <v>0.1</v>
      </c>
      <c r="G342" s="11">
        <f>C342/100*13.2</f>
        <v>13.2</v>
      </c>
      <c r="H342" s="11">
        <f t="shared" si="17"/>
        <v>0</v>
      </c>
      <c r="I342" s="70"/>
      <c r="J342" s="70"/>
      <c r="K342" s="70">
        <f>C342/100*2.5714285</f>
        <v>2.5714285000000001</v>
      </c>
      <c r="L342" s="70"/>
      <c r="M342" s="3">
        <v>2</v>
      </c>
    </row>
    <row r="343" spans="2:13">
      <c r="B343" s="81" t="s">
        <v>1188</v>
      </c>
      <c r="C343" s="4">
        <v>100</v>
      </c>
      <c r="D343" s="5">
        <f>C343/100*91</f>
        <v>91</v>
      </c>
      <c r="E343" s="11">
        <f>C343/100*0.1</f>
        <v>0.1</v>
      </c>
      <c r="F343" s="11">
        <f>C343/100*0.1</f>
        <v>0.1</v>
      </c>
      <c r="G343" s="11">
        <f>C343/100*22.5</f>
        <v>22.5</v>
      </c>
      <c r="H343" s="11">
        <f t="shared" si="17"/>
        <v>0</v>
      </c>
      <c r="I343" s="70"/>
      <c r="J343" s="70"/>
      <c r="K343" s="70"/>
      <c r="L343" s="11">
        <f>C343/100*0</f>
        <v>0</v>
      </c>
      <c r="M343" s="19" t="s">
        <v>751</v>
      </c>
    </row>
    <row r="344" spans="2:13">
      <c r="B344" s="104" t="s">
        <v>240</v>
      </c>
      <c r="C344" s="4">
        <v>6.4</v>
      </c>
      <c r="D344" s="5">
        <f>C344/100*34/0.064</f>
        <v>34</v>
      </c>
      <c r="E344" s="11">
        <f>C344/100*0.3/0.064</f>
        <v>0.3</v>
      </c>
      <c r="F344" s="11">
        <f>C344/100*1.9/0.064</f>
        <v>1.9</v>
      </c>
      <c r="G344" s="11">
        <f>C344/100*4/0.064</f>
        <v>4</v>
      </c>
      <c r="H344" s="11">
        <f t="shared" si="17"/>
        <v>0</v>
      </c>
      <c r="I344" s="70"/>
      <c r="J344" s="70"/>
      <c r="K344" s="70"/>
      <c r="L344" s="11">
        <f>C344/100*0.0279633/0.064</f>
        <v>2.79633E-2</v>
      </c>
      <c r="M344" s="19" t="s">
        <v>751</v>
      </c>
    </row>
    <row r="345" spans="2:13">
      <c r="B345" s="104" t="s">
        <v>873</v>
      </c>
      <c r="C345" s="4">
        <v>6.4</v>
      </c>
      <c r="D345" s="5">
        <f>C345/100*34/0.064</f>
        <v>34</v>
      </c>
      <c r="E345" s="11">
        <f>C345/100*0.3/0.064</f>
        <v>0.3</v>
      </c>
      <c r="F345" s="11">
        <f>C345/100*1.9/0.064</f>
        <v>1.9</v>
      </c>
      <c r="G345" s="11">
        <f>C345/100*4/0.064</f>
        <v>4</v>
      </c>
      <c r="H345" s="11">
        <f t="shared" si="17"/>
        <v>0</v>
      </c>
      <c r="I345" s="70"/>
      <c r="J345" s="70"/>
      <c r="K345" s="70"/>
      <c r="L345" s="11">
        <f>C345/100*0.0279633/0.064</f>
        <v>2.79633E-2</v>
      </c>
      <c r="M345" s="19" t="s">
        <v>751</v>
      </c>
    </row>
    <row r="346" spans="2:13">
      <c r="B346" s="104" t="s">
        <v>241</v>
      </c>
      <c r="C346" s="4">
        <v>100</v>
      </c>
      <c r="D346" s="5">
        <f>C346/100*387</f>
        <v>387</v>
      </c>
      <c r="E346" s="11">
        <f>C346/100*0</f>
        <v>0</v>
      </c>
      <c r="F346" s="11">
        <f>C346/100*0</f>
        <v>0</v>
      </c>
      <c r="G346" s="11">
        <f>C346/100*100</f>
        <v>100</v>
      </c>
      <c r="H346" s="11">
        <f t="shared" si="17"/>
        <v>0</v>
      </c>
      <c r="I346" s="70"/>
      <c r="J346" s="70"/>
      <c r="K346" s="70">
        <f>C346/100*0</f>
        <v>0</v>
      </c>
      <c r="L346" s="70">
        <f>C346/100*0</f>
        <v>0</v>
      </c>
      <c r="M346" s="19" t="s">
        <v>750</v>
      </c>
    </row>
    <row r="347" spans="2:13">
      <c r="B347" s="104" t="s">
        <v>242</v>
      </c>
      <c r="C347" s="4">
        <v>100</v>
      </c>
      <c r="D347" s="5">
        <f>C347/100*222</f>
        <v>222</v>
      </c>
      <c r="E347" s="11">
        <f>C347/100*4.9</f>
        <v>4.9000000000000004</v>
      </c>
      <c r="F347" s="11">
        <f>C347/100*0.9</f>
        <v>0.9</v>
      </c>
      <c r="G347" s="11">
        <f>C347/100*48.5</f>
        <v>48.5</v>
      </c>
      <c r="H347" s="11">
        <f t="shared" si="17"/>
        <v>0</v>
      </c>
      <c r="I347" s="70">
        <f>C347/100*1</f>
        <v>1</v>
      </c>
      <c r="J347" s="70">
        <f>C347/100*7.5</f>
        <v>7.5</v>
      </c>
      <c r="K347" s="70">
        <f>C347/100*8.5</f>
        <v>8.5</v>
      </c>
      <c r="L347" s="70">
        <f>C347/100*0.0050842</f>
        <v>5.0841999999999997E-3</v>
      </c>
      <c r="M347" s="3">
        <v>1</v>
      </c>
    </row>
    <row r="348" spans="2:13">
      <c r="B348" s="104" t="s">
        <v>242</v>
      </c>
      <c r="C348" s="4">
        <v>100</v>
      </c>
      <c r="D348" s="5">
        <f>C348/100*222</f>
        <v>222</v>
      </c>
      <c r="E348" s="11">
        <f>C348/100*4.9</f>
        <v>4.9000000000000004</v>
      </c>
      <c r="F348" s="11">
        <f>C348/100*0.9</f>
        <v>0.9</v>
      </c>
      <c r="G348" s="11">
        <f>C348/100*48.5</f>
        <v>48.5</v>
      </c>
      <c r="H348" s="11">
        <f t="shared" si="17"/>
        <v>0</v>
      </c>
      <c r="I348" s="70">
        <f>C348/100*1</f>
        <v>1</v>
      </c>
      <c r="J348" s="70">
        <f>C348/100*7.5</f>
        <v>7.5</v>
      </c>
      <c r="K348" s="70">
        <f>C348/100*8.5</f>
        <v>8.5</v>
      </c>
      <c r="L348" s="70">
        <f>C348/100*0</f>
        <v>0</v>
      </c>
      <c r="M348" s="3">
        <v>1</v>
      </c>
    </row>
    <row r="349" spans="2:13">
      <c r="B349" s="81" t="s">
        <v>1246</v>
      </c>
      <c r="C349" s="4">
        <v>100</v>
      </c>
      <c r="D349" s="5">
        <f>C349/100*175</f>
        <v>175</v>
      </c>
      <c r="E349" s="11">
        <f>C349/100*1.7</f>
        <v>1.7</v>
      </c>
      <c r="F349" s="11">
        <f>C349/100*0.6</f>
        <v>0.6</v>
      </c>
      <c r="G349" s="11">
        <f>C349/100*40.7</f>
        <v>40.700000000000003</v>
      </c>
      <c r="H349" s="11">
        <f t="shared" si="17"/>
        <v>0</v>
      </c>
      <c r="I349" s="70"/>
      <c r="J349" s="70"/>
      <c r="K349" s="70"/>
      <c r="L349" s="11">
        <f>C349/100*0.0533845</f>
        <v>5.3384500000000001E-2</v>
      </c>
      <c r="M349" s="19">
        <v>1</v>
      </c>
    </row>
    <row r="350" spans="2:13">
      <c r="B350" s="81" t="s">
        <v>1247</v>
      </c>
      <c r="C350" s="4">
        <v>100</v>
      </c>
      <c r="D350" s="5">
        <f>C350/100*175</f>
        <v>175</v>
      </c>
      <c r="E350" s="11">
        <f>C350/100*1.7</f>
        <v>1.7</v>
      </c>
      <c r="F350" s="11">
        <f>C350/100*0.6</f>
        <v>0.6</v>
      </c>
      <c r="G350" s="11">
        <f>C350/100*44</f>
        <v>44</v>
      </c>
      <c r="H350" s="11">
        <f t="shared" si="17"/>
        <v>0</v>
      </c>
      <c r="I350" s="70"/>
      <c r="J350" s="70"/>
      <c r="K350" s="70">
        <f>C350/100*6.6</f>
        <v>6.6</v>
      </c>
      <c r="L350" s="11">
        <f>C350/100*0.0533845</f>
        <v>5.3384500000000001E-2</v>
      </c>
      <c r="M350" s="19">
        <v>1</v>
      </c>
    </row>
    <row r="351" spans="2:13">
      <c r="B351" s="104" t="s">
        <v>866</v>
      </c>
      <c r="C351" s="4">
        <v>100</v>
      </c>
      <c r="D351" s="5">
        <f>C351/100*181</f>
        <v>181</v>
      </c>
      <c r="E351" s="11">
        <f>C351/100*4</f>
        <v>4</v>
      </c>
      <c r="F351" s="11">
        <f>C351/100*1.4</f>
        <v>1.4</v>
      </c>
      <c r="G351" s="11">
        <f>C351/100*40.7</f>
        <v>40.700000000000003</v>
      </c>
      <c r="H351" s="11">
        <f t="shared" si="17"/>
        <v>0</v>
      </c>
      <c r="I351" s="70"/>
      <c r="J351" s="70"/>
      <c r="K351" s="70">
        <f>C351/100*5.3</f>
        <v>5.3</v>
      </c>
      <c r="L351" s="11">
        <f>C351/100*0</f>
        <v>0</v>
      </c>
      <c r="M351" s="3">
        <v>1</v>
      </c>
    </row>
    <row r="352" spans="2:13">
      <c r="B352" s="104" t="s">
        <v>1035</v>
      </c>
      <c r="C352" s="4">
        <v>100</v>
      </c>
      <c r="D352" s="5">
        <f>C352/100*170</f>
        <v>170</v>
      </c>
      <c r="E352" s="11">
        <f>C352/100*0.87</f>
        <v>0.87</v>
      </c>
      <c r="F352" s="11">
        <f>C352/100*0.16</f>
        <v>0.16</v>
      </c>
      <c r="G352" s="11">
        <f>C352/100*42.21</f>
        <v>42.21</v>
      </c>
      <c r="H352" s="11">
        <f t="shared" si="17"/>
        <v>0</v>
      </c>
      <c r="I352" s="70"/>
      <c r="J352" s="70"/>
      <c r="K352" s="70">
        <f>C352/100*1.55</f>
        <v>1.55</v>
      </c>
      <c r="L352" s="11">
        <f>C352/100*0.2</f>
        <v>0.2</v>
      </c>
      <c r="M352" s="19" t="s">
        <v>751</v>
      </c>
    </row>
    <row r="353" spans="2:13">
      <c r="B353" s="104" t="s">
        <v>993</v>
      </c>
      <c r="C353" s="4">
        <v>100</v>
      </c>
      <c r="D353" s="5">
        <f>C353/100*238</f>
        <v>238</v>
      </c>
      <c r="E353" s="11">
        <f>C353/100*1.8</f>
        <v>1.8</v>
      </c>
      <c r="F353" s="11">
        <f>C353/100*0.4</f>
        <v>0.4</v>
      </c>
      <c r="G353" s="11">
        <f>C353/100*56.8</f>
        <v>56.8</v>
      </c>
      <c r="H353" s="11">
        <f t="shared" si="17"/>
        <v>0</v>
      </c>
      <c r="I353" s="70"/>
      <c r="J353" s="70"/>
      <c r="K353" s="70">
        <f>C353/100*2.8</f>
        <v>2.8</v>
      </c>
      <c r="L353" s="11">
        <f>C353/100*0.0177948</f>
        <v>1.77948E-2</v>
      </c>
      <c r="M353" s="19" t="s">
        <v>751</v>
      </c>
    </row>
    <row r="354" spans="2:13">
      <c r="B354" s="104" t="s">
        <v>891</v>
      </c>
      <c r="C354" s="4">
        <v>40</v>
      </c>
      <c r="D354" s="5">
        <f>C354/100*124/0.4</f>
        <v>124</v>
      </c>
      <c r="E354" s="11">
        <f>C354/100*2.4/0.4</f>
        <v>2.4</v>
      </c>
      <c r="F354" s="11">
        <f>C354/100*0.5/0.4</f>
        <v>0.5</v>
      </c>
      <c r="G354" s="11">
        <f>C354/100*27.3/0.4</f>
        <v>27.300000000000004</v>
      </c>
      <c r="H354" s="11">
        <f>C354/100*8.8/0.4</f>
        <v>8.8000000000000007</v>
      </c>
      <c r="I354" s="70">
        <f>C354/100*0.1/0.4</f>
        <v>0.10000000000000002</v>
      </c>
      <c r="J354" s="70">
        <f>C354/100*1.1/0.4</f>
        <v>1.1000000000000001</v>
      </c>
      <c r="K354" s="70">
        <f>C354/100*1.2/0.4</f>
        <v>1.2</v>
      </c>
      <c r="L354" s="11">
        <f>C354/100*0.0254212/0.4</f>
        <v>2.5421200000000001E-2</v>
      </c>
      <c r="M354" s="19" t="s">
        <v>751</v>
      </c>
    </row>
    <row r="355" spans="2:13">
      <c r="B355" s="104" t="s">
        <v>912</v>
      </c>
      <c r="C355" s="4">
        <v>100</v>
      </c>
      <c r="D355" s="5">
        <f>C355/100*309</f>
        <v>309</v>
      </c>
      <c r="E355" s="11">
        <f>C355/100*6</f>
        <v>6</v>
      </c>
      <c r="F355" s="11">
        <f>C355/100*1.3</f>
        <v>1.3</v>
      </c>
      <c r="G355" s="11">
        <f>C355/100*68.3</f>
        <v>68.3</v>
      </c>
      <c r="H355" s="11">
        <f>C355/100*33</f>
        <v>33</v>
      </c>
      <c r="I355" s="70">
        <f>C355/100*0.3</f>
        <v>0.3</v>
      </c>
      <c r="J355" s="70">
        <f>C355/100*2.7</f>
        <v>2.7</v>
      </c>
      <c r="K355" s="70">
        <f>C355/100*3</f>
        <v>3</v>
      </c>
      <c r="L355" s="11">
        <f>C355/100*0.063553</f>
        <v>6.3552999999999998E-2</v>
      </c>
      <c r="M355" s="19" t="s">
        <v>751</v>
      </c>
    </row>
    <row r="356" spans="2:13">
      <c r="B356" s="104" t="s">
        <v>243</v>
      </c>
      <c r="C356" s="4">
        <v>300</v>
      </c>
      <c r="D356" s="5">
        <f>C356/100*780/3</f>
        <v>780</v>
      </c>
      <c r="E356" s="11">
        <f>C356/100*4.5/3</f>
        <v>4.5</v>
      </c>
      <c r="F356" s="11">
        <f>C356/100*1.2/3</f>
        <v>1.2</v>
      </c>
      <c r="G356" s="11">
        <f>C356/100*187/3</f>
        <v>187</v>
      </c>
      <c r="H356" s="11">
        <f t="shared" ref="H356:H387" si="18">C356/100*0</f>
        <v>0</v>
      </c>
      <c r="I356" s="70"/>
      <c r="J356" s="70"/>
      <c r="K356" s="70"/>
      <c r="L356" s="11">
        <f>C356/100*0.022875/3</f>
        <v>2.2874999999999996E-2</v>
      </c>
      <c r="M356" s="19" t="s">
        <v>751</v>
      </c>
    </row>
    <row r="357" spans="2:13">
      <c r="B357" s="81" t="s">
        <v>1099</v>
      </c>
      <c r="C357" s="4">
        <v>77</v>
      </c>
      <c r="D357" s="5">
        <f>C357/100*491/0.77</f>
        <v>491</v>
      </c>
      <c r="E357" s="11">
        <f>C357/100*9.3/0.77</f>
        <v>9.3000000000000007</v>
      </c>
      <c r="F357" s="11">
        <f>C357/100*39/0.77</f>
        <v>39</v>
      </c>
      <c r="G357" s="11">
        <f>C357/100*25.7/0.77</f>
        <v>25.700000000000003</v>
      </c>
      <c r="H357" s="11">
        <f t="shared" si="18"/>
        <v>0</v>
      </c>
      <c r="I357" s="70"/>
      <c r="J357" s="70"/>
      <c r="K357" s="70"/>
      <c r="L357" s="11">
        <f>C357/100*0.1/0.77</f>
        <v>0.10000000000000002</v>
      </c>
      <c r="M357" s="19" t="s">
        <v>751</v>
      </c>
    </row>
    <row r="358" spans="2:13">
      <c r="B358" s="104" t="s">
        <v>953</v>
      </c>
      <c r="C358" s="4">
        <v>100</v>
      </c>
      <c r="D358" s="5">
        <f>C358/100*319</f>
        <v>319</v>
      </c>
      <c r="E358" s="11">
        <f>C358/100*7.66</f>
        <v>7.66</v>
      </c>
      <c r="F358" s="11">
        <f>C358/100*15.13</f>
        <v>15.13</v>
      </c>
      <c r="G358" s="11">
        <f>C358/100*37.22</f>
        <v>37.22</v>
      </c>
      <c r="H358" s="11">
        <f t="shared" si="18"/>
        <v>0</v>
      </c>
      <c r="I358" s="70"/>
      <c r="J358" s="70"/>
      <c r="K358" s="70"/>
      <c r="L358" s="11">
        <f>C358/100*0.5190756</f>
        <v>0.51907559999999997</v>
      </c>
      <c r="M358" s="19" t="s">
        <v>751</v>
      </c>
    </row>
    <row r="359" spans="2:13">
      <c r="B359" s="104" t="s">
        <v>244</v>
      </c>
      <c r="C359" s="4">
        <v>100</v>
      </c>
      <c r="D359" s="5">
        <f>C359/100*38</f>
        <v>38</v>
      </c>
      <c r="E359" s="11">
        <f>C359/100*0.9</f>
        <v>0.9</v>
      </c>
      <c r="F359" s="11">
        <f>C359/100*0.1</f>
        <v>0.1</v>
      </c>
      <c r="G359" s="11">
        <f>C359/100*9.6</f>
        <v>9.6</v>
      </c>
      <c r="H359" s="11">
        <f t="shared" si="18"/>
        <v>0</v>
      </c>
      <c r="I359" s="70">
        <f>C359/100*0.2</f>
        <v>0.2</v>
      </c>
      <c r="J359" s="70">
        <f>C359/100*0.4</f>
        <v>0.4</v>
      </c>
      <c r="K359" s="70">
        <f>C359/100*0.6</f>
        <v>0.6</v>
      </c>
      <c r="L359" s="70">
        <f>C359/100*0</f>
        <v>0</v>
      </c>
      <c r="M359" s="3">
        <v>2</v>
      </c>
    </row>
    <row r="360" spans="2:13">
      <c r="B360" s="104" t="s">
        <v>1017</v>
      </c>
      <c r="C360" s="4">
        <v>100</v>
      </c>
      <c r="D360" s="5">
        <f>C360/100*15</f>
        <v>15</v>
      </c>
      <c r="E360" s="11">
        <f>C360/100*2.1</f>
        <v>2.1</v>
      </c>
      <c r="F360" s="11">
        <f>C360/100*0.1</f>
        <v>0.1</v>
      </c>
      <c r="G360" s="11">
        <f>C360/100*2.5</f>
        <v>2.5</v>
      </c>
      <c r="H360" s="11">
        <f t="shared" si="18"/>
        <v>0</v>
      </c>
      <c r="I360" s="70">
        <f>C360/100*0.2</f>
        <v>0.2</v>
      </c>
      <c r="J360" s="70">
        <f>C360/100*2.3</f>
        <v>2.2999999999999998</v>
      </c>
      <c r="K360" s="70">
        <f>C360/100*2.5</f>
        <v>2.5</v>
      </c>
      <c r="L360" s="11">
        <f>C360/100*0.1</f>
        <v>0.1</v>
      </c>
      <c r="M360" s="3">
        <v>6</v>
      </c>
    </row>
    <row r="361" spans="2:13">
      <c r="B361" s="81" t="s">
        <v>1234</v>
      </c>
      <c r="C361" s="4">
        <v>100</v>
      </c>
      <c r="D361" s="5">
        <f>C361/100*354</f>
        <v>354</v>
      </c>
      <c r="E361" s="11">
        <f>C361/100*1.7</f>
        <v>1.7</v>
      </c>
      <c r="F361" s="11">
        <f>C361/100*0</f>
        <v>0</v>
      </c>
      <c r="G361" s="11">
        <f>C361/100*89.7</f>
        <v>89.7</v>
      </c>
      <c r="H361" s="11">
        <f t="shared" si="18"/>
        <v>0</v>
      </c>
      <c r="I361" s="70"/>
      <c r="J361" s="70"/>
      <c r="K361" s="70"/>
      <c r="L361" s="11">
        <f>C361/100*0.1</f>
        <v>0.1</v>
      </c>
      <c r="M361" s="3" t="s">
        <v>747</v>
      </c>
    </row>
    <row r="362" spans="2:13">
      <c r="B362" s="81" t="s">
        <v>245</v>
      </c>
      <c r="C362" s="4">
        <v>100</v>
      </c>
      <c r="D362" s="5">
        <f>C362/100*236/1.25</f>
        <v>188.8</v>
      </c>
      <c r="E362" s="11">
        <f>C362/100*10/1.25</f>
        <v>8</v>
      </c>
      <c r="F362" s="11">
        <f>C362/100*5/1.25</f>
        <v>4</v>
      </c>
      <c r="G362" s="11">
        <f>C362/100*35.4/1.25</f>
        <v>28.32</v>
      </c>
      <c r="H362" s="11">
        <f t="shared" si="18"/>
        <v>0</v>
      </c>
      <c r="I362" s="70">
        <f>C362/100</f>
        <v>1</v>
      </c>
      <c r="J362" s="70">
        <f>C362/100</f>
        <v>1</v>
      </c>
      <c r="K362" s="70">
        <f>C362/100</f>
        <v>1</v>
      </c>
      <c r="L362" s="70">
        <f>C362/100</f>
        <v>1</v>
      </c>
      <c r="M362" s="3">
        <v>3</v>
      </c>
    </row>
    <row r="363" spans="2:13">
      <c r="B363" s="104" t="s">
        <v>995</v>
      </c>
      <c r="C363" s="4">
        <v>140</v>
      </c>
      <c r="D363" s="5">
        <f>C363/100*290/1.4</f>
        <v>290</v>
      </c>
      <c r="E363" s="11">
        <f>C363/100*17.5/1.4</f>
        <v>17.5</v>
      </c>
      <c r="F363" s="11">
        <f>C363/100*8.5/1.4</f>
        <v>8.5</v>
      </c>
      <c r="G363" s="11">
        <f>C363/100*40.4/1.4</f>
        <v>40.4</v>
      </c>
      <c r="H363" s="11">
        <f t="shared" si="18"/>
        <v>0</v>
      </c>
      <c r="I363" s="70"/>
      <c r="J363" s="70"/>
      <c r="K363" s="70">
        <f>C363/100*7.1/1.4</f>
        <v>7.1000000000000005</v>
      </c>
      <c r="L363" s="11">
        <f>C363/100*1.1693756/1.4</f>
        <v>1.1693756</v>
      </c>
      <c r="M363" s="3">
        <v>3</v>
      </c>
    </row>
    <row r="364" spans="2:13">
      <c r="B364" s="104" t="s">
        <v>246</v>
      </c>
      <c r="C364" s="4">
        <v>100</v>
      </c>
      <c r="D364" s="5">
        <f>C364/100*351</f>
        <v>351</v>
      </c>
      <c r="E364" s="11">
        <f>C364/100*4</f>
        <v>4</v>
      </c>
      <c r="F364" s="11">
        <f>C364/100*1</f>
        <v>1</v>
      </c>
      <c r="G364" s="11">
        <f>C364/100*82.5</f>
        <v>82.5</v>
      </c>
      <c r="H364" s="11">
        <f t="shared" si="18"/>
        <v>0</v>
      </c>
      <c r="I364" s="70"/>
      <c r="J364" s="70"/>
      <c r="K364" s="70"/>
      <c r="L364" s="11">
        <f>C364/100*0.25</f>
        <v>0.25</v>
      </c>
      <c r="M364" s="19" t="s">
        <v>751</v>
      </c>
    </row>
    <row r="365" spans="2:13">
      <c r="B365" s="81" t="s">
        <v>1085</v>
      </c>
      <c r="C365" s="4">
        <v>100</v>
      </c>
      <c r="D365" s="5">
        <f>C365/100*200</f>
        <v>200</v>
      </c>
      <c r="E365" s="11">
        <f>C365/100*10.4</f>
        <v>10.4</v>
      </c>
      <c r="F365" s="11">
        <f>C365/100*3.6</f>
        <v>3.6</v>
      </c>
      <c r="G365" s="11">
        <f>C365/100*36.5</f>
        <v>36.5</v>
      </c>
      <c r="H365" s="11">
        <f t="shared" si="18"/>
        <v>0</v>
      </c>
      <c r="I365" s="70"/>
      <c r="J365" s="70"/>
      <c r="K365" s="70">
        <f>C365/100*5.7</f>
        <v>5.7</v>
      </c>
      <c r="L365" s="11">
        <f>C365/100*0.6584093</f>
        <v>0.65840929999999998</v>
      </c>
      <c r="M365" s="19" t="s">
        <v>751</v>
      </c>
    </row>
    <row r="366" spans="2:13">
      <c r="B366" s="104" t="s">
        <v>247</v>
      </c>
      <c r="C366" s="4">
        <v>30</v>
      </c>
      <c r="D366" s="5">
        <f>C366/100*63/0.3</f>
        <v>63</v>
      </c>
      <c r="E366" s="11">
        <f>C366/100*3.8/0.3</f>
        <v>3.8</v>
      </c>
      <c r="F366" s="11">
        <f>C366/100*1.8/0.3</f>
        <v>1.8000000000000003</v>
      </c>
      <c r="G366" s="11">
        <f>C366/100*8.6/0.3</f>
        <v>8.6</v>
      </c>
      <c r="H366" s="11">
        <f t="shared" si="18"/>
        <v>0</v>
      </c>
      <c r="I366" s="70"/>
      <c r="J366" s="70"/>
      <c r="K366" s="70">
        <f>C366/100*1.5/0.3</f>
        <v>1.5</v>
      </c>
      <c r="L366" s="70">
        <f>C366/100*0.3/0.3</f>
        <v>0.3</v>
      </c>
      <c r="M366" s="3">
        <v>1</v>
      </c>
    </row>
    <row r="367" spans="2:13">
      <c r="B367" s="81" t="s">
        <v>1248</v>
      </c>
      <c r="C367" s="4">
        <v>100</v>
      </c>
      <c r="D367" s="5">
        <f>C367/100*176</f>
        <v>176</v>
      </c>
      <c r="E367" s="11">
        <f>C367/100*8.5</f>
        <v>8.5</v>
      </c>
      <c r="F367" s="11">
        <f>C367/100*4.1</f>
        <v>4.0999999999999996</v>
      </c>
      <c r="G367" s="11">
        <f>C367/100*31.1</f>
        <v>31.1</v>
      </c>
      <c r="H367" s="11">
        <f t="shared" si="18"/>
        <v>0</v>
      </c>
      <c r="I367" s="70"/>
      <c r="J367" s="70"/>
      <c r="K367" s="70">
        <f>C367/100*4.2</f>
        <v>4.2</v>
      </c>
      <c r="L367" s="11">
        <f>C367/100*0.7</f>
        <v>0.7</v>
      </c>
      <c r="M367" s="19">
        <v>1</v>
      </c>
    </row>
    <row r="368" spans="2:13">
      <c r="B368" s="104" t="s">
        <v>1054</v>
      </c>
      <c r="C368" s="4">
        <v>100</v>
      </c>
      <c r="D368" s="5">
        <f>C368/100*177</f>
        <v>177</v>
      </c>
      <c r="E368" s="11">
        <f>C368/100*14.6</f>
        <v>14.6</v>
      </c>
      <c r="F368" s="11">
        <f>C368/100*7.3</f>
        <v>7.3</v>
      </c>
      <c r="G368" s="11">
        <f>C368/100*17.2</f>
        <v>17.2</v>
      </c>
      <c r="H368" s="11">
        <f t="shared" si="18"/>
        <v>0</v>
      </c>
      <c r="I368" s="70"/>
      <c r="J368" s="70"/>
      <c r="K368" s="70">
        <f>C368/100*7.8</f>
        <v>7.8</v>
      </c>
      <c r="L368" s="11">
        <f>C368/100*0.4</f>
        <v>0.4</v>
      </c>
      <c r="M368" s="3">
        <v>3</v>
      </c>
    </row>
    <row r="369" spans="2:13">
      <c r="B369" s="104" t="s">
        <v>248</v>
      </c>
      <c r="C369" s="4">
        <v>100</v>
      </c>
      <c r="D369" s="5">
        <f>C369/100*197</f>
        <v>197</v>
      </c>
      <c r="E369" s="11">
        <f>C369/100*10.5</f>
        <v>10.5</v>
      </c>
      <c r="F369" s="11">
        <f>C369/100*3.8</f>
        <v>3.8</v>
      </c>
      <c r="G369" s="11">
        <f>C369/100*36.6</f>
        <v>36.6</v>
      </c>
      <c r="H369" s="11">
        <f t="shared" si="18"/>
        <v>0</v>
      </c>
      <c r="I369" s="70"/>
      <c r="J369" s="70"/>
      <c r="K369" s="70">
        <f>C369/100*5.6</f>
        <v>5.6</v>
      </c>
      <c r="L369" s="70">
        <f>C369/100*0.7</f>
        <v>0.7</v>
      </c>
      <c r="M369" s="3">
        <v>1</v>
      </c>
    </row>
    <row r="370" spans="2:13">
      <c r="B370" s="104" t="s">
        <v>249</v>
      </c>
      <c r="C370" s="4">
        <v>100</v>
      </c>
      <c r="D370" s="5">
        <f>C370/100*200</f>
        <v>200</v>
      </c>
      <c r="E370" s="11">
        <f>C370/100*10.4</f>
        <v>10.4</v>
      </c>
      <c r="F370" s="11">
        <f>C370/100*3.6</f>
        <v>3.6</v>
      </c>
      <c r="G370" s="11">
        <f>C370/100*36.5</f>
        <v>36.5</v>
      </c>
      <c r="H370" s="11">
        <f t="shared" si="18"/>
        <v>0</v>
      </c>
      <c r="I370" s="70"/>
      <c r="J370" s="70"/>
      <c r="K370" s="70">
        <f>C370/100*5.7</f>
        <v>5.7</v>
      </c>
      <c r="L370" s="70">
        <f>C370/100*0.7</f>
        <v>0.7</v>
      </c>
      <c r="M370" s="3">
        <v>1</v>
      </c>
    </row>
    <row r="371" spans="2:13">
      <c r="B371" s="81" t="s">
        <v>1189</v>
      </c>
      <c r="C371" s="4">
        <v>100</v>
      </c>
      <c r="D371" s="5">
        <f>C371/100*199</f>
        <v>199</v>
      </c>
      <c r="E371" s="11">
        <f>C371/100*1</f>
        <v>1</v>
      </c>
      <c r="F371" s="11">
        <f>C371/100*0</f>
        <v>0</v>
      </c>
      <c r="G371" s="11">
        <f>C371/100*50.5</f>
        <v>50.5</v>
      </c>
      <c r="H371" s="11">
        <f t="shared" si="18"/>
        <v>0</v>
      </c>
      <c r="I371" s="70"/>
      <c r="J371" s="70"/>
      <c r="K371" s="70"/>
      <c r="L371" s="11">
        <f>C371/100*0</f>
        <v>0</v>
      </c>
      <c r="M371" s="19" t="s">
        <v>751</v>
      </c>
    </row>
    <row r="372" spans="2:13">
      <c r="B372" s="104" t="s">
        <v>250</v>
      </c>
      <c r="C372" s="4">
        <v>100</v>
      </c>
      <c r="D372" s="5">
        <f>C372/100*375</f>
        <v>375</v>
      </c>
      <c r="E372" s="11">
        <f>C372/100*7</f>
        <v>7</v>
      </c>
      <c r="F372" s="11">
        <f>C372/100*11.8</f>
        <v>11.8</v>
      </c>
      <c r="G372" s="11">
        <f>C372/100*60.3</f>
        <v>60.3</v>
      </c>
      <c r="H372" s="11">
        <f t="shared" si="18"/>
        <v>0</v>
      </c>
      <c r="I372" s="70">
        <f>C372/100*0.6</f>
        <v>0.6</v>
      </c>
      <c r="J372" s="70">
        <f>C372/100*0.6</f>
        <v>0.6</v>
      </c>
      <c r="K372" s="70">
        <f>C372/100*1.2</f>
        <v>1.2</v>
      </c>
      <c r="L372" s="11">
        <f>C372/100*0.4</f>
        <v>0.4</v>
      </c>
      <c r="M372" s="19" t="s">
        <v>751</v>
      </c>
    </row>
    <row r="373" spans="2:13">
      <c r="B373" s="81" t="s">
        <v>251</v>
      </c>
      <c r="C373" s="4">
        <v>100</v>
      </c>
      <c r="D373" s="5">
        <f>C373/100*118</f>
        <v>118</v>
      </c>
      <c r="E373" s="11">
        <f>C373/100*1.6</f>
        <v>1.6</v>
      </c>
      <c r="F373" s="11">
        <f>C373/100*0</f>
        <v>0</v>
      </c>
      <c r="G373" s="11">
        <f>C373/100*27.9</f>
        <v>27.9</v>
      </c>
      <c r="H373" s="11">
        <f t="shared" si="18"/>
        <v>0</v>
      </c>
      <c r="I373" s="70"/>
      <c r="J373" s="70"/>
      <c r="K373" s="70"/>
      <c r="L373" s="70">
        <f>C373/100*3.6</f>
        <v>3.6</v>
      </c>
      <c r="M373" s="19" t="s">
        <v>750</v>
      </c>
    </row>
    <row r="374" spans="2:13">
      <c r="B374" s="104" t="s">
        <v>807</v>
      </c>
      <c r="C374" s="4">
        <v>100</v>
      </c>
      <c r="D374" s="5">
        <f>C374/100*119</f>
        <v>119</v>
      </c>
      <c r="E374" s="11">
        <f>C374/100*1.7</f>
        <v>1.7</v>
      </c>
      <c r="F374" s="11">
        <f>C374/100*0</f>
        <v>0</v>
      </c>
      <c r="G374" s="11">
        <f>C374/100*27.4</f>
        <v>27.4</v>
      </c>
      <c r="H374" s="11">
        <f t="shared" si="18"/>
        <v>0</v>
      </c>
      <c r="I374" s="70"/>
      <c r="J374" s="70"/>
      <c r="K374" s="70">
        <f>C374/100*1.8</f>
        <v>1.8</v>
      </c>
      <c r="L374" s="11">
        <f>C374/100*3.3047573</f>
        <v>3.3047572999999999</v>
      </c>
      <c r="M374" s="19" t="s">
        <v>750</v>
      </c>
    </row>
    <row r="375" spans="2:13">
      <c r="B375" s="104" t="s">
        <v>252</v>
      </c>
      <c r="C375" s="4">
        <v>16</v>
      </c>
      <c r="D375" s="5">
        <f>C375/100*85/0.16</f>
        <v>85</v>
      </c>
      <c r="E375" s="11">
        <f>C375/100*7.9/0.16</f>
        <v>7.9</v>
      </c>
      <c r="F375" s="11">
        <f>C375/100*5.31/0.16</f>
        <v>5.31</v>
      </c>
      <c r="G375" s="11">
        <f>C375/100*0.91/0.16</f>
        <v>0.91</v>
      </c>
      <c r="H375" s="11">
        <f t="shared" si="18"/>
        <v>0</v>
      </c>
      <c r="I375" s="70"/>
      <c r="J375" s="70"/>
      <c r="K375" s="70">
        <f>C375/100*0.29/0.16</f>
        <v>0.28999999999999998</v>
      </c>
      <c r="L375" s="11">
        <f>C375/100*0.16/0.16</f>
        <v>0.16</v>
      </c>
      <c r="M375" s="3">
        <v>3</v>
      </c>
    </row>
    <row r="376" spans="2:13">
      <c r="B376" s="104" t="s">
        <v>1040</v>
      </c>
      <c r="C376" s="4">
        <v>16.5</v>
      </c>
      <c r="D376" s="5">
        <f>C376/100*88/0.165</f>
        <v>88</v>
      </c>
      <c r="E376" s="11">
        <f>C376/100*8.3/0.165</f>
        <v>8.3000000000000007</v>
      </c>
      <c r="F376" s="11">
        <f>C376/100*5.8/0.165</f>
        <v>5.8</v>
      </c>
      <c r="G376" s="11">
        <f>C376/100*0.6/0.165</f>
        <v>0.6</v>
      </c>
      <c r="H376" s="11">
        <f t="shared" si="18"/>
        <v>0</v>
      </c>
      <c r="I376" s="70"/>
      <c r="J376" s="70"/>
      <c r="K376" s="70"/>
      <c r="L376" s="11">
        <f>C376/100*0.1728642/0.165</f>
        <v>0.1728642</v>
      </c>
      <c r="M376" s="3">
        <v>3</v>
      </c>
    </row>
    <row r="377" spans="2:13">
      <c r="B377" s="103" t="s">
        <v>253</v>
      </c>
      <c r="C377" s="4">
        <v>100</v>
      </c>
      <c r="D377" s="5">
        <f>C377/100*288</f>
        <v>288</v>
      </c>
      <c r="E377" s="11">
        <f>C377/100*14.7</f>
        <v>14.7</v>
      </c>
      <c r="F377" s="11">
        <f>C377/100*0.3</f>
        <v>0.3</v>
      </c>
      <c r="G377" s="11">
        <f>C377/100*56.5</f>
        <v>56.5</v>
      </c>
      <c r="H377" s="11">
        <f t="shared" si="18"/>
        <v>0</v>
      </c>
      <c r="I377" s="70"/>
      <c r="J377" s="70"/>
      <c r="K377" s="70"/>
      <c r="L377" s="70">
        <f>C377/100*0.1</f>
        <v>0.1</v>
      </c>
      <c r="M377" s="19" t="s">
        <v>751</v>
      </c>
    </row>
    <row r="378" spans="2:13">
      <c r="B378" s="104" t="s">
        <v>254</v>
      </c>
      <c r="C378" s="4">
        <v>8.5</v>
      </c>
      <c r="D378" s="5">
        <f>C378/100*19/0.085</f>
        <v>19</v>
      </c>
      <c r="E378" s="11">
        <f>C378/100*0.2/0.085</f>
        <v>0.2</v>
      </c>
      <c r="F378" s="11">
        <f>C378/100*0/0.085</f>
        <v>0</v>
      </c>
      <c r="G378" s="11">
        <f>C378/100*7.8/0.085</f>
        <v>7.8</v>
      </c>
      <c r="H378" s="11">
        <f t="shared" si="18"/>
        <v>0</v>
      </c>
      <c r="I378" s="70"/>
      <c r="J378" s="70"/>
      <c r="K378" s="70">
        <f>C378/100*6.7/0.085</f>
        <v>6.6999999999999993</v>
      </c>
      <c r="L378" s="11">
        <f>C378/100*0.0017794/0.085</f>
        <v>1.7794E-3</v>
      </c>
      <c r="M378" s="19" t="s">
        <v>751</v>
      </c>
    </row>
    <row r="379" spans="2:13">
      <c r="B379" s="104" t="s">
        <v>911</v>
      </c>
      <c r="C379" s="4">
        <v>200</v>
      </c>
      <c r="D379" s="5">
        <f>C379/100*97/2</f>
        <v>97</v>
      </c>
      <c r="E379" s="11">
        <f>C379/100*2.5/2</f>
        <v>2.5</v>
      </c>
      <c r="F379" s="11">
        <f>C379/100*1.7/2</f>
        <v>1.7</v>
      </c>
      <c r="G379" s="11">
        <f>C379/100*17.9/2</f>
        <v>17.899999999999999</v>
      </c>
      <c r="H379" s="11">
        <f t="shared" si="18"/>
        <v>0</v>
      </c>
      <c r="I379" s="70"/>
      <c r="J379" s="70"/>
      <c r="K379" s="70"/>
      <c r="L379" s="11">
        <f>C379/100*0.2211645/2</f>
        <v>0.22116450000000001</v>
      </c>
      <c r="M379" s="19" t="s">
        <v>751</v>
      </c>
    </row>
    <row r="380" spans="2:13">
      <c r="B380" s="104" t="s">
        <v>920</v>
      </c>
      <c r="C380" s="4">
        <v>17.600000000000001</v>
      </c>
      <c r="D380" s="5">
        <f>C380/100*76/0.176</f>
        <v>76.000000000000014</v>
      </c>
      <c r="E380" s="11">
        <f>C380/100*1/0.176</f>
        <v>1.0000000000000002</v>
      </c>
      <c r="F380" s="11">
        <f>C380/100*2/0.176</f>
        <v>2.0000000000000004</v>
      </c>
      <c r="G380" s="11">
        <f>C380/100*12/0.176</f>
        <v>12.000000000000002</v>
      </c>
      <c r="H380" s="11">
        <f t="shared" si="18"/>
        <v>0</v>
      </c>
      <c r="I380" s="70"/>
      <c r="J380" s="70"/>
      <c r="K380" s="70"/>
      <c r="L380" s="11">
        <f>C380/100*1.0422696/0.176</f>
        <v>1.0422696000000002</v>
      </c>
      <c r="M380" s="19" t="s">
        <v>751</v>
      </c>
    </row>
    <row r="381" spans="2:13">
      <c r="B381" s="104" t="s">
        <v>255</v>
      </c>
      <c r="C381" s="4">
        <v>40</v>
      </c>
      <c r="D381" s="5">
        <f>C381/100*160/0.4</f>
        <v>160</v>
      </c>
      <c r="E381" s="11">
        <f>C381/100*2/0.4</f>
        <v>2</v>
      </c>
      <c r="F381" s="11">
        <f>C381/100*0.3/0.4</f>
        <v>0.3</v>
      </c>
      <c r="G381" s="11">
        <f>C381/100*36.1/0.4</f>
        <v>36.1</v>
      </c>
      <c r="H381" s="11">
        <f t="shared" si="18"/>
        <v>0</v>
      </c>
      <c r="I381" s="70"/>
      <c r="J381" s="70"/>
      <c r="K381" s="70"/>
      <c r="L381" s="11">
        <f>C381/100*0.5338454/0.4</f>
        <v>0.53384540000000003</v>
      </c>
      <c r="M381" s="19" t="s">
        <v>751</v>
      </c>
    </row>
    <row r="382" spans="2:13">
      <c r="B382" s="104" t="s">
        <v>1018</v>
      </c>
      <c r="C382" s="4">
        <v>100</v>
      </c>
      <c r="D382" s="5">
        <f>C382/100*15</f>
        <v>15</v>
      </c>
      <c r="E382" s="11">
        <f>C382/100*2.1</f>
        <v>2.1</v>
      </c>
      <c r="F382" s="11">
        <f>C382/100*0.1</f>
        <v>0.1</v>
      </c>
      <c r="G382" s="11">
        <f>C382/100*2.5</f>
        <v>2.5</v>
      </c>
      <c r="H382" s="11">
        <f t="shared" si="18"/>
        <v>0</v>
      </c>
      <c r="I382" s="70">
        <f>C382/100*0.2</f>
        <v>0.2</v>
      </c>
      <c r="J382" s="70">
        <f>C382/100*2.3</f>
        <v>2.2999999999999998</v>
      </c>
      <c r="K382" s="70">
        <f>C382/100*2.5</f>
        <v>2.5</v>
      </c>
      <c r="L382" s="11">
        <f>C382/100*0.1</f>
        <v>0.1</v>
      </c>
      <c r="M382" s="3">
        <v>6</v>
      </c>
    </row>
    <row r="383" spans="2:13">
      <c r="B383" s="104" t="s">
        <v>256</v>
      </c>
      <c r="C383" s="4">
        <v>100</v>
      </c>
      <c r="D383" s="5">
        <f>C383/100*540</f>
        <v>540</v>
      </c>
      <c r="E383" s="11">
        <f>C383/100*10.2</f>
        <v>10.199999999999999</v>
      </c>
      <c r="F383" s="11">
        <f>C383/100*46.02</f>
        <v>46.02</v>
      </c>
      <c r="G383" s="11">
        <f>C383/100*30.33</f>
        <v>30.33</v>
      </c>
      <c r="H383" s="11">
        <f t="shared" si="18"/>
        <v>0</v>
      </c>
      <c r="I383" s="70"/>
      <c r="J383" s="70"/>
      <c r="K383" s="70">
        <f>C383/100*5.02</f>
        <v>5.0199999999999996</v>
      </c>
      <c r="L383" s="11">
        <f>C383/100*0.521389</f>
        <v>0.52138899999999999</v>
      </c>
      <c r="M383" s="19" t="s">
        <v>751</v>
      </c>
    </row>
    <row r="384" spans="2:13">
      <c r="B384" s="104" t="s">
        <v>257</v>
      </c>
      <c r="C384" s="4">
        <v>100</v>
      </c>
      <c r="D384" s="5">
        <f>C384/100*28</f>
        <v>28</v>
      </c>
      <c r="E384" s="11">
        <f>C384/100*3</f>
        <v>3</v>
      </c>
      <c r="F384" s="11">
        <f>C384/100*0.2</f>
        <v>0.2</v>
      </c>
      <c r="G384" s="11">
        <f>C384/100*5.3</f>
        <v>5.3</v>
      </c>
      <c r="H384" s="11">
        <f t="shared" si="18"/>
        <v>0</v>
      </c>
      <c r="I384" s="70"/>
      <c r="J384" s="70"/>
      <c r="K384" s="70">
        <f>C384/100*5.2</f>
        <v>5.2</v>
      </c>
      <c r="L384" s="70"/>
      <c r="M384" s="3">
        <v>6</v>
      </c>
    </row>
    <row r="385" spans="2:13">
      <c r="B385" s="81" t="s">
        <v>258</v>
      </c>
      <c r="C385" s="4">
        <v>100</v>
      </c>
      <c r="D385" s="5">
        <f>C385/100*364</f>
        <v>364</v>
      </c>
      <c r="E385" s="11">
        <f>C385/100*11</f>
        <v>11</v>
      </c>
      <c r="F385" s="11">
        <f>C385/100*6</f>
        <v>6</v>
      </c>
      <c r="G385" s="11">
        <f>C385/100*66.6</f>
        <v>66.599999999999994</v>
      </c>
      <c r="H385" s="11">
        <f t="shared" si="18"/>
        <v>0</v>
      </c>
      <c r="I385" s="70"/>
      <c r="J385" s="70"/>
      <c r="K385" s="70"/>
      <c r="L385" s="70">
        <f>C385/100*0.2</f>
        <v>0.2</v>
      </c>
      <c r="M385" s="19" t="s">
        <v>750</v>
      </c>
    </row>
    <row r="386" spans="2:13">
      <c r="B386" s="103" t="s">
        <v>259</v>
      </c>
      <c r="C386" s="4">
        <v>100</v>
      </c>
      <c r="D386" s="5">
        <f>C386/100*371</f>
        <v>371</v>
      </c>
      <c r="E386" s="11">
        <f>C386/100*10.6</f>
        <v>10.6</v>
      </c>
      <c r="F386" s="11">
        <f>C386/100*6.2</f>
        <v>6.2</v>
      </c>
      <c r="G386" s="11">
        <f>C386/100*68.3</f>
        <v>68.3</v>
      </c>
      <c r="H386" s="11">
        <f t="shared" si="18"/>
        <v>0</v>
      </c>
      <c r="I386" s="70"/>
      <c r="J386" s="70"/>
      <c r="K386" s="70"/>
      <c r="L386" s="70">
        <f>C386/100*0.1</f>
        <v>0.1</v>
      </c>
      <c r="M386" s="19" t="s">
        <v>750</v>
      </c>
    </row>
    <row r="387" spans="2:13">
      <c r="B387" s="81" t="s">
        <v>260</v>
      </c>
      <c r="C387" s="4">
        <v>100</v>
      </c>
      <c r="D387" s="5">
        <f>C387/100*378</f>
        <v>378</v>
      </c>
      <c r="E387" s="11">
        <f>C387/100*10.1</f>
        <v>10.1</v>
      </c>
      <c r="F387" s="11">
        <f>C387/100*6.4</f>
        <v>6.4</v>
      </c>
      <c r="G387" s="11">
        <f>C387/100*70.1</f>
        <v>70.099999999999994</v>
      </c>
      <c r="H387" s="11">
        <f t="shared" si="18"/>
        <v>0</v>
      </c>
      <c r="I387" s="70"/>
      <c r="J387" s="70"/>
      <c r="K387" s="70"/>
      <c r="L387" s="70">
        <f>C387/100*0</f>
        <v>0</v>
      </c>
      <c r="M387" s="19" t="s">
        <v>750</v>
      </c>
    </row>
    <row r="388" spans="2:13">
      <c r="B388" s="103" t="s">
        <v>261</v>
      </c>
      <c r="C388" s="4">
        <v>100</v>
      </c>
      <c r="D388" s="5">
        <f>C388/100*168</f>
        <v>168</v>
      </c>
      <c r="E388" s="11">
        <f>C388/100*2.5</f>
        <v>2.5</v>
      </c>
      <c r="F388" s="11">
        <f>C388/100*0.3</f>
        <v>0.3</v>
      </c>
      <c r="G388" s="11">
        <f>C388/100*37.1</f>
        <v>37.1</v>
      </c>
      <c r="H388" s="11">
        <f t="shared" ref="H388:H423" si="19">C388/100*0</f>
        <v>0</v>
      </c>
      <c r="I388" s="70">
        <f>C388/100*0</f>
        <v>0</v>
      </c>
      <c r="J388" s="70">
        <f>C388/100*0.3</f>
        <v>0.3</v>
      </c>
      <c r="K388" s="70">
        <f>C388/100*0.3</f>
        <v>0.3</v>
      </c>
      <c r="L388" s="70">
        <f>C388/100*0</f>
        <v>0</v>
      </c>
      <c r="M388" s="3">
        <v>1</v>
      </c>
    </row>
    <row r="389" spans="2:13">
      <c r="B389" s="104" t="s">
        <v>997</v>
      </c>
      <c r="C389" s="4">
        <v>100</v>
      </c>
      <c r="D389" s="5">
        <f>C389/100*94</f>
        <v>94</v>
      </c>
      <c r="E389" s="11">
        <f>C389/100*5.57</f>
        <v>5.57</v>
      </c>
      <c r="F389" s="11">
        <f>C389/100*0.94</f>
        <v>0.94</v>
      </c>
      <c r="G389" s="11">
        <f>C389/100*19.03</f>
        <v>19.03</v>
      </c>
      <c r="H389" s="11">
        <f t="shared" si="19"/>
        <v>0</v>
      </c>
      <c r="I389" s="70"/>
      <c r="J389" s="70"/>
      <c r="K389" s="70">
        <f>C389/100*4.69</f>
        <v>4.6900000000000004</v>
      </c>
      <c r="L389" s="11">
        <f>C389/100*1.9217672</f>
        <v>1.9217671999999999</v>
      </c>
      <c r="M389" s="19" t="s">
        <v>751</v>
      </c>
    </row>
    <row r="390" spans="2:13">
      <c r="B390" s="104" t="s">
        <v>996</v>
      </c>
      <c r="C390" s="4">
        <v>80</v>
      </c>
      <c r="D390" s="5">
        <f>C390/100*75/0.8</f>
        <v>75</v>
      </c>
      <c r="E390" s="11">
        <f>C390/100*3.6/0.8</f>
        <v>3.6</v>
      </c>
      <c r="F390" s="11">
        <f>C390/100*3.4/0.8</f>
        <v>3.4</v>
      </c>
      <c r="G390" s="11">
        <f>C390/100*7.4/0.8</f>
        <v>7.4</v>
      </c>
      <c r="H390" s="11">
        <f t="shared" si="19"/>
        <v>0</v>
      </c>
      <c r="I390" s="70"/>
      <c r="J390" s="70"/>
      <c r="K390" s="70"/>
      <c r="L390" s="11">
        <f>C390/100*0.841442/0.8</f>
        <v>0.84144200000000002</v>
      </c>
      <c r="M390" s="19" t="s">
        <v>751</v>
      </c>
    </row>
    <row r="391" spans="2:13">
      <c r="B391" s="81" t="s">
        <v>262</v>
      </c>
      <c r="C391" s="4">
        <v>100</v>
      </c>
      <c r="D391" s="5">
        <f>C391/100*65</f>
        <v>65</v>
      </c>
      <c r="E391" s="11">
        <f>C391/100*1.8</f>
        <v>1.8</v>
      </c>
      <c r="F391" s="11">
        <f>C391/100*0.1</f>
        <v>0.1</v>
      </c>
      <c r="G391" s="11">
        <f>C391/100*15.4</f>
        <v>15.4</v>
      </c>
      <c r="H391" s="11">
        <f t="shared" si="19"/>
        <v>0</v>
      </c>
      <c r="I391" s="70">
        <f>C391/100*2.3</f>
        <v>2.2999999999999998</v>
      </c>
      <c r="J391" s="70">
        <f>C391/100*3.4</f>
        <v>3.4</v>
      </c>
      <c r="K391" s="70">
        <f>C391/100*5.7</f>
        <v>5.7</v>
      </c>
      <c r="L391" s="70">
        <f>C391/100*0</f>
        <v>0</v>
      </c>
      <c r="M391" s="3">
        <v>6</v>
      </c>
    </row>
    <row r="392" spans="2:13">
      <c r="B392" s="81" t="s">
        <v>263</v>
      </c>
      <c r="C392" s="4">
        <v>100</v>
      </c>
      <c r="D392" s="5">
        <f>C392/100*58</f>
        <v>58</v>
      </c>
      <c r="E392" s="11">
        <f>C392/100*1.5</f>
        <v>1.5</v>
      </c>
      <c r="F392" s="11">
        <f>C392/100*0.2</f>
        <v>0.2</v>
      </c>
      <c r="G392" s="11">
        <f>C392/100*13.7</f>
        <v>13.7</v>
      </c>
      <c r="H392" s="11">
        <f t="shared" si="19"/>
        <v>0</v>
      </c>
      <c r="I392" s="70">
        <f>C392/100*2.7</f>
        <v>2.7</v>
      </c>
      <c r="J392" s="70">
        <f>C392/100*3.4</f>
        <v>3.4</v>
      </c>
      <c r="K392" s="70">
        <f>C392/100*6.1</f>
        <v>6.1</v>
      </c>
      <c r="L392" s="70">
        <f>C392/100*0</f>
        <v>0</v>
      </c>
      <c r="M392" s="3">
        <v>6</v>
      </c>
    </row>
    <row r="393" spans="2:13">
      <c r="B393" s="81" t="s">
        <v>264</v>
      </c>
      <c r="C393" s="4">
        <v>100</v>
      </c>
      <c r="D393" s="5">
        <f>C393/100*921</f>
        <v>921</v>
      </c>
      <c r="E393" s="11">
        <f>C393/100*0</f>
        <v>0</v>
      </c>
      <c r="F393" s="11">
        <f>C393/100*100</f>
        <v>100</v>
      </c>
      <c r="G393" s="11">
        <f>C393/100*0</f>
        <v>0</v>
      </c>
      <c r="H393" s="11">
        <f t="shared" si="19"/>
        <v>0</v>
      </c>
      <c r="I393" s="70"/>
      <c r="J393" s="70"/>
      <c r="K393" s="70">
        <f>C393/100*0</f>
        <v>0</v>
      </c>
      <c r="L393" s="70">
        <f>C393/100*0</f>
        <v>0</v>
      </c>
      <c r="M393" s="3">
        <v>5</v>
      </c>
    </row>
    <row r="394" spans="2:13">
      <c r="B394" s="81" t="s">
        <v>265</v>
      </c>
      <c r="C394" s="4">
        <v>100</v>
      </c>
      <c r="D394" s="5">
        <f>C394/100*14</f>
        <v>14</v>
      </c>
      <c r="E394" s="11">
        <f>C394/100*1.5</f>
        <v>1.5</v>
      </c>
      <c r="F394" s="11">
        <f>C394/100*0.2</f>
        <v>0.2</v>
      </c>
      <c r="G394" s="11">
        <f>C394/100*2.4</f>
        <v>2.4</v>
      </c>
      <c r="H394" s="11">
        <f t="shared" si="19"/>
        <v>0</v>
      </c>
      <c r="I394" s="70">
        <f>C394/100*0.4</f>
        <v>0.4</v>
      </c>
      <c r="J394" s="70">
        <f>C394/100*1.5</f>
        <v>1.5</v>
      </c>
      <c r="K394" s="70">
        <f>C394/100*1.9</f>
        <v>1.9</v>
      </c>
      <c r="L394" s="70">
        <f>C394/100*0</f>
        <v>0</v>
      </c>
      <c r="M394" s="3">
        <v>6</v>
      </c>
    </row>
    <row r="395" spans="2:13">
      <c r="B395" s="104" t="s">
        <v>266</v>
      </c>
      <c r="C395" s="4">
        <v>100</v>
      </c>
      <c r="D395" s="5">
        <f>C395/100*15</f>
        <v>15</v>
      </c>
      <c r="E395" s="11">
        <f>C395/100*1.6</f>
        <v>1.6</v>
      </c>
      <c r="F395" s="11">
        <f>C395/100*0.1</f>
        <v>0.1</v>
      </c>
      <c r="G395" s="11">
        <f>C395/100*3</f>
        <v>3</v>
      </c>
      <c r="H395" s="11">
        <f t="shared" si="19"/>
        <v>0</v>
      </c>
      <c r="I395" s="70">
        <f>C395/100*0.6</f>
        <v>0.6</v>
      </c>
      <c r="J395" s="70">
        <f>C395/100*1.8</f>
        <v>1.8</v>
      </c>
      <c r="K395" s="70">
        <f>C395/100*2.4</f>
        <v>2.4</v>
      </c>
      <c r="L395" s="70">
        <f>C395/100*0</f>
        <v>0</v>
      </c>
      <c r="M395" s="3">
        <v>6</v>
      </c>
    </row>
    <row r="396" spans="2:13">
      <c r="B396" s="104" t="s">
        <v>267</v>
      </c>
      <c r="C396" s="4">
        <v>100</v>
      </c>
      <c r="D396" s="5">
        <f>C396/100*453</f>
        <v>453</v>
      </c>
      <c r="E396" s="11">
        <f>C396/100*9.7</f>
        <v>9.6999999999999993</v>
      </c>
      <c r="F396" s="11">
        <f>C396/100*13.3</f>
        <v>13.3</v>
      </c>
      <c r="G396" s="11">
        <f>C396/100*73.5</f>
        <v>73.5</v>
      </c>
      <c r="H396" s="11">
        <f t="shared" si="19"/>
        <v>0</v>
      </c>
      <c r="I396" s="70"/>
      <c r="J396" s="70"/>
      <c r="K396" s="70"/>
      <c r="L396" s="11">
        <f>C396/100*1.2558077</f>
        <v>1.2558077000000001</v>
      </c>
      <c r="M396" s="19" t="s">
        <v>751</v>
      </c>
    </row>
    <row r="397" spans="2:13">
      <c r="B397" s="104" t="s">
        <v>268</v>
      </c>
      <c r="C397" s="4">
        <v>14</v>
      </c>
      <c r="D397" s="5">
        <f>C397/100*126/0.14</f>
        <v>125.99999999999999</v>
      </c>
      <c r="E397" s="11">
        <f>C397/100*0/0.14</f>
        <v>0</v>
      </c>
      <c r="F397" s="11">
        <f>C397/100*14/0.14</f>
        <v>14</v>
      </c>
      <c r="G397" s="11">
        <f>C397/100*0/0.14</f>
        <v>0</v>
      </c>
      <c r="H397" s="11">
        <f t="shared" si="19"/>
        <v>0</v>
      </c>
      <c r="I397" s="70"/>
      <c r="J397" s="70"/>
      <c r="K397" s="70"/>
      <c r="L397" s="70"/>
      <c r="M397" s="3">
        <v>5</v>
      </c>
    </row>
    <row r="398" spans="2:13">
      <c r="B398" s="104" t="s">
        <v>836</v>
      </c>
      <c r="C398" s="4">
        <v>100</v>
      </c>
      <c r="D398" s="5">
        <f>C398/100*921</f>
        <v>921</v>
      </c>
      <c r="E398" s="11">
        <f>C398/100*0</f>
        <v>0</v>
      </c>
      <c r="F398" s="11">
        <f>C398/100*100</f>
        <v>100</v>
      </c>
      <c r="G398" s="11">
        <f>C398/100*0</f>
        <v>0</v>
      </c>
      <c r="H398" s="11">
        <f t="shared" si="19"/>
        <v>0</v>
      </c>
      <c r="I398" s="70"/>
      <c r="J398" s="70"/>
      <c r="K398" s="70"/>
      <c r="L398" s="11"/>
      <c r="M398" s="3">
        <v>5</v>
      </c>
    </row>
    <row r="399" spans="2:13">
      <c r="B399" s="81" t="s">
        <v>789</v>
      </c>
      <c r="C399" s="4">
        <v>100</v>
      </c>
      <c r="D399" s="5">
        <f>C399/100*366</f>
        <v>366</v>
      </c>
      <c r="E399" s="11">
        <f>C399/100*11.7</f>
        <v>11.7</v>
      </c>
      <c r="F399" s="11">
        <f>C399/100*1.8</f>
        <v>1.8</v>
      </c>
      <c r="G399" s="11">
        <f>C399/100*71.6</f>
        <v>71.599999999999994</v>
      </c>
      <c r="H399" s="11">
        <f t="shared" si="19"/>
        <v>0</v>
      </c>
      <c r="I399" s="70"/>
      <c r="J399" s="70"/>
      <c r="K399" s="70">
        <f>C399/100*2.7</f>
        <v>2.7</v>
      </c>
      <c r="L399" s="11">
        <f>C399/100*0.0050842</f>
        <v>5.0841999999999997E-3</v>
      </c>
      <c r="M399" s="3">
        <v>1</v>
      </c>
    </row>
    <row r="400" spans="2:13">
      <c r="B400" s="81" t="s">
        <v>269</v>
      </c>
      <c r="C400" s="4">
        <v>100</v>
      </c>
      <c r="D400" s="5">
        <f>C400/100*367</f>
        <v>367</v>
      </c>
      <c r="E400" s="11">
        <f>C400/100*12.4</f>
        <v>12.4</v>
      </c>
      <c r="F400" s="11">
        <f>C400/100*2.1</f>
        <v>2.1</v>
      </c>
      <c r="G400" s="11">
        <f>C400/100*70.5</f>
        <v>70.5</v>
      </c>
      <c r="H400" s="11">
        <f t="shared" si="19"/>
        <v>0</v>
      </c>
      <c r="I400" s="70">
        <f>C400/100*1.2</f>
        <v>1.2</v>
      </c>
      <c r="J400" s="70">
        <f>C400/100*1.6</f>
        <v>1.6</v>
      </c>
      <c r="K400" s="70">
        <f>C400/100*2.8</f>
        <v>2.8</v>
      </c>
      <c r="L400" s="70">
        <f>C400/100*0</f>
        <v>0</v>
      </c>
      <c r="M400" s="3">
        <v>1</v>
      </c>
    </row>
    <row r="401" spans="2:13">
      <c r="B401" s="104" t="s">
        <v>270</v>
      </c>
      <c r="C401" s="4">
        <v>100</v>
      </c>
      <c r="D401" s="5">
        <f>C401/100*369</f>
        <v>369</v>
      </c>
      <c r="E401" s="11">
        <f>C401/100*9.7</f>
        <v>9.6999999999999993</v>
      </c>
      <c r="F401" s="11">
        <f>C401/100*2.1</f>
        <v>2.1</v>
      </c>
      <c r="G401" s="11">
        <f>C401/100*1.2</f>
        <v>1.2</v>
      </c>
      <c r="H401" s="11">
        <f t="shared" si="19"/>
        <v>0</v>
      </c>
      <c r="I401" s="70">
        <f>C401/100*1.2</f>
        <v>1.2</v>
      </c>
      <c r="J401" s="70">
        <f>C401/100*1.7</f>
        <v>1.7</v>
      </c>
      <c r="K401" s="70">
        <f>C401/100*2.9</f>
        <v>2.9</v>
      </c>
      <c r="L401" s="70">
        <f>C401/100*0</f>
        <v>0</v>
      </c>
      <c r="M401" s="3">
        <v>1</v>
      </c>
    </row>
    <row r="402" spans="2:13">
      <c r="B402" s="81" t="s">
        <v>790</v>
      </c>
      <c r="C402" s="4">
        <v>100</v>
      </c>
      <c r="D402" s="5">
        <f>C402/100*368</f>
        <v>368</v>
      </c>
      <c r="E402" s="11">
        <f>C402/100*8</f>
        <v>8</v>
      </c>
      <c r="F402" s="11">
        <f>C402/100*1.7</f>
        <v>1.7</v>
      </c>
      <c r="G402" s="11">
        <f>C402/100*75.9</f>
        <v>75.900000000000006</v>
      </c>
      <c r="H402" s="11">
        <f t="shared" si="19"/>
        <v>0</v>
      </c>
      <c r="I402" s="70"/>
      <c r="J402" s="70"/>
      <c r="K402" s="70">
        <f>C402/100*2.5</f>
        <v>2.5</v>
      </c>
      <c r="L402" s="11">
        <f>C402/100*0.0050842</f>
        <v>5.0841999999999997E-3</v>
      </c>
      <c r="M402" s="3">
        <v>1</v>
      </c>
    </row>
    <row r="403" spans="2:13">
      <c r="B403" s="81" t="s">
        <v>271</v>
      </c>
      <c r="C403" s="4">
        <v>100</v>
      </c>
      <c r="D403" s="5">
        <f>C403/100*369</f>
        <v>369</v>
      </c>
      <c r="E403" s="11">
        <f>C403/100*8.8</f>
        <v>8.8000000000000007</v>
      </c>
      <c r="F403" s="11">
        <f>C403/100*2.1</f>
        <v>2.1</v>
      </c>
      <c r="G403" s="11">
        <f>C403/100*74.6</f>
        <v>74.599999999999994</v>
      </c>
      <c r="H403" s="11">
        <f t="shared" si="19"/>
        <v>0</v>
      </c>
      <c r="I403" s="70">
        <f>C403/100*1.2</f>
        <v>1.2</v>
      </c>
      <c r="J403" s="70">
        <f>C403/100*1.5</f>
        <v>1.5</v>
      </c>
      <c r="K403" s="70">
        <f>C403/100*2.7</f>
        <v>2.7</v>
      </c>
      <c r="L403" s="70">
        <f>C403/100*0</f>
        <v>0</v>
      </c>
      <c r="M403" s="3">
        <v>1</v>
      </c>
    </row>
    <row r="404" spans="2:13">
      <c r="B404" s="81" t="s">
        <v>1232</v>
      </c>
      <c r="C404" s="4">
        <v>100</v>
      </c>
      <c r="D404" s="5">
        <f>C404/100*374</f>
        <v>374</v>
      </c>
      <c r="E404" s="11">
        <f>C404/100*6</f>
        <v>6</v>
      </c>
      <c r="F404" s="11">
        <f>C404/100*0.7</f>
        <v>0.7</v>
      </c>
      <c r="G404" s="11">
        <f>C404/100*81.9</f>
        <v>81.900000000000006</v>
      </c>
      <c r="H404" s="11">
        <f t="shared" si="19"/>
        <v>0</v>
      </c>
      <c r="I404" s="70">
        <f>C404/100*0</f>
        <v>0</v>
      </c>
      <c r="J404" s="70">
        <f>C404/100*0.6</f>
        <v>0.6</v>
      </c>
      <c r="K404" s="70">
        <f>C404/100*0.6</f>
        <v>0.6</v>
      </c>
      <c r="L404" s="11">
        <f>C404/100*0</f>
        <v>0</v>
      </c>
      <c r="M404" s="19">
        <v>1</v>
      </c>
    </row>
    <row r="405" spans="2:13">
      <c r="B405" s="81" t="s">
        <v>272</v>
      </c>
      <c r="C405" s="4">
        <v>200</v>
      </c>
      <c r="D405" s="5">
        <f>C405/100*572/2</f>
        <v>572</v>
      </c>
      <c r="E405" s="11">
        <f>C405/100*11.6/2</f>
        <v>11.6</v>
      </c>
      <c r="F405" s="11">
        <f>C405/100*3.4/2</f>
        <v>3.4</v>
      </c>
      <c r="G405" s="11">
        <f>C405/100*118.4/2</f>
        <v>118.4</v>
      </c>
      <c r="H405" s="11">
        <f t="shared" si="19"/>
        <v>0</v>
      </c>
      <c r="I405" s="70"/>
      <c r="J405" s="70"/>
      <c r="K405" s="70">
        <f>C405/100*2.8/2</f>
        <v>2.8</v>
      </c>
      <c r="L405" s="70"/>
      <c r="M405" s="3">
        <v>1</v>
      </c>
    </row>
    <row r="406" spans="2:13">
      <c r="B406" s="104" t="s">
        <v>273</v>
      </c>
      <c r="C406" s="4">
        <v>100</v>
      </c>
      <c r="D406" s="5">
        <f>C406/100*46</f>
        <v>46</v>
      </c>
      <c r="E406" s="11">
        <f>C406/100*0.2</f>
        <v>0.2</v>
      </c>
      <c r="F406" s="11">
        <f>C406/100*0</f>
        <v>0</v>
      </c>
      <c r="G406" s="11">
        <f>C406/100*7.4</f>
        <v>7.4</v>
      </c>
      <c r="H406" s="11">
        <f t="shared" si="19"/>
        <v>0</v>
      </c>
      <c r="I406" s="70">
        <f>C406/100*0</f>
        <v>0</v>
      </c>
      <c r="J406" s="70">
        <f>C406/100*0</f>
        <v>0</v>
      </c>
      <c r="K406" s="70">
        <f>C406/100*0</f>
        <v>0</v>
      </c>
      <c r="L406" s="70">
        <f>C406/100*0</f>
        <v>0</v>
      </c>
      <c r="M406" s="19" t="s">
        <v>750</v>
      </c>
    </row>
    <row r="407" spans="2:13">
      <c r="B407" s="103" t="s">
        <v>274</v>
      </c>
      <c r="C407" s="4">
        <v>100</v>
      </c>
      <c r="D407" s="5">
        <f>C407/100*164</f>
        <v>164</v>
      </c>
      <c r="E407" s="11">
        <f>C407/100*4.6</f>
        <v>4.5999999999999996</v>
      </c>
      <c r="F407" s="11">
        <f>C407/100*4.9</f>
        <v>4.9000000000000004</v>
      </c>
      <c r="G407" s="11">
        <f>C407/100*25.3</f>
        <v>25.3</v>
      </c>
      <c r="H407" s="11">
        <f t="shared" si="19"/>
        <v>0</v>
      </c>
      <c r="I407" s="70"/>
      <c r="J407" s="70"/>
      <c r="K407" s="70"/>
      <c r="L407" s="70">
        <f>C407/100*0.7</f>
        <v>0.7</v>
      </c>
      <c r="M407" s="3" t="s">
        <v>749</v>
      </c>
    </row>
    <row r="408" spans="2:13">
      <c r="B408" s="104" t="s">
        <v>781</v>
      </c>
      <c r="C408" s="4">
        <v>100</v>
      </c>
      <c r="D408" s="5">
        <f>C408/100*222</f>
        <v>222</v>
      </c>
      <c r="E408" s="11">
        <f>C408/100*5.95</f>
        <v>5.95</v>
      </c>
      <c r="F408" s="11">
        <f>C408/100*12.24</f>
        <v>12.24</v>
      </c>
      <c r="G408" s="11">
        <f>C408/100*21.08</f>
        <v>21.08</v>
      </c>
      <c r="H408" s="11">
        <f t="shared" si="19"/>
        <v>0</v>
      </c>
      <c r="I408" s="70"/>
      <c r="J408" s="70"/>
      <c r="K408" s="70">
        <f>C408/100*2.24</f>
        <v>2.2400000000000002</v>
      </c>
      <c r="L408" s="11">
        <f>C408/100*0.5269816</f>
        <v>0.52698160000000005</v>
      </c>
      <c r="M408" s="3" t="s">
        <v>749</v>
      </c>
    </row>
    <row r="409" spans="2:13">
      <c r="B409" s="104" t="s">
        <v>812</v>
      </c>
      <c r="C409" s="4">
        <v>100</v>
      </c>
      <c r="D409" s="5">
        <f>C409/100*235</f>
        <v>235</v>
      </c>
      <c r="E409" s="11">
        <f>C409/100*7</f>
        <v>7</v>
      </c>
      <c r="F409" s="11">
        <f>C409/100*4.3</f>
        <v>4.3</v>
      </c>
      <c r="G409" s="11">
        <f>C409/100*42.1</f>
        <v>42.1</v>
      </c>
      <c r="H409" s="11">
        <f t="shared" si="19"/>
        <v>0</v>
      </c>
      <c r="I409" s="70"/>
      <c r="J409" s="70"/>
      <c r="K409" s="70">
        <f>C409/100*0.3</f>
        <v>0.3</v>
      </c>
      <c r="L409" s="11">
        <f>C409/100*43.2116057</f>
        <v>43.2116057</v>
      </c>
      <c r="M409" s="19" t="s">
        <v>750</v>
      </c>
    </row>
    <row r="410" spans="2:13">
      <c r="B410" s="104" t="s">
        <v>275</v>
      </c>
      <c r="C410" s="4">
        <v>100</v>
      </c>
      <c r="D410" s="5">
        <f>C410/100*7</f>
        <v>7</v>
      </c>
      <c r="E410" s="11">
        <f>C410/100*0.3</f>
        <v>0.3</v>
      </c>
      <c r="F410" s="11">
        <f>C410/100*0</f>
        <v>0</v>
      </c>
      <c r="G410" s="11">
        <f>C410/100*3</f>
        <v>3</v>
      </c>
      <c r="H410" s="11">
        <f t="shared" si="19"/>
        <v>0</v>
      </c>
      <c r="I410" s="70"/>
      <c r="J410" s="70"/>
      <c r="K410" s="70">
        <f>C410/100*3</f>
        <v>3</v>
      </c>
      <c r="L410" s="70">
        <f>C410/100*0.0083889</f>
        <v>8.3888999999999995E-3</v>
      </c>
      <c r="M410" s="3">
        <v>6</v>
      </c>
    </row>
    <row r="411" spans="2:13">
      <c r="B411" s="104" t="s">
        <v>276</v>
      </c>
      <c r="C411" s="4">
        <v>100</v>
      </c>
      <c r="D411" s="5">
        <f>C411/100*5</f>
        <v>5</v>
      </c>
      <c r="E411" s="11">
        <f>C411/100*0.1</f>
        <v>0.1</v>
      </c>
      <c r="F411" s="11">
        <f>C411/100*0</f>
        <v>0</v>
      </c>
      <c r="G411" s="11">
        <f>C411/100*2.3</f>
        <v>2.2999999999999998</v>
      </c>
      <c r="H411" s="11">
        <f t="shared" si="19"/>
        <v>0</v>
      </c>
      <c r="I411" s="70">
        <f>C411/100*0.1</f>
        <v>0.1</v>
      </c>
      <c r="J411" s="70">
        <f>C411/100*2.1</f>
        <v>2.1</v>
      </c>
      <c r="K411" s="70">
        <f>C411/100*2.2</f>
        <v>2.2000000000000002</v>
      </c>
      <c r="L411" s="70">
        <f>C411/100*0.0083889</f>
        <v>8.3888999999999995E-3</v>
      </c>
      <c r="M411" s="3">
        <v>6</v>
      </c>
    </row>
    <row r="412" spans="2:13">
      <c r="B412" s="104" t="s">
        <v>1022</v>
      </c>
      <c r="C412" s="4">
        <v>100</v>
      </c>
      <c r="D412" s="5">
        <f>C412/100*5</f>
        <v>5</v>
      </c>
      <c r="E412" s="11">
        <f>C412/100*0</f>
        <v>0</v>
      </c>
      <c r="F412" s="11">
        <f>C412/100*0</f>
        <v>0</v>
      </c>
      <c r="G412" s="11">
        <f>C412/100*2.3</f>
        <v>2.2999999999999998</v>
      </c>
      <c r="H412" s="11">
        <f t="shared" si="19"/>
        <v>0</v>
      </c>
      <c r="I412" s="70"/>
      <c r="J412" s="70"/>
      <c r="K412" s="70">
        <f>C412/100*2.1</f>
        <v>2.1</v>
      </c>
      <c r="L412" s="70">
        <f>C412/100*0</f>
        <v>0</v>
      </c>
      <c r="M412" s="3">
        <v>6</v>
      </c>
    </row>
    <row r="413" spans="2:13">
      <c r="B413" s="103" t="s">
        <v>277</v>
      </c>
      <c r="C413" s="4">
        <v>100</v>
      </c>
      <c r="D413" s="5">
        <f>C413/100*105</f>
        <v>105</v>
      </c>
      <c r="E413" s="11">
        <f>C413/100*5.4</f>
        <v>5.4</v>
      </c>
      <c r="F413" s="11">
        <f>C413/100*0.5</f>
        <v>0.5</v>
      </c>
      <c r="G413" s="11">
        <f>C413/100*46</f>
        <v>46</v>
      </c>
      <c r="H413" s="11">
        <f t="shared" si="19"/>
        <v>0</v>
      </c>
      <c r="I413" s="70"/>
      <c r="J413" s="70"/>
      <c r="K413" s="70">
        <f>C413/100*39.1</f>
        <v>39.1</v>
      </c>
      <c r="L413" s="70">
        <f>C413/100*10.93112</f>
        <v>10.93112</v>
      </c>
      <c r="M413" s="3">
        <v>6</v>
      </c>
    </row>
    <row r="414" spans="2:13">
      <c r="B414" s="81" t="s">
        <v>278</v>
      </c>
      <c r="C414" s="4">
        <v>100</v>
      </c>
      <c r="D414" s="5">
        <f>C414/100*140</f>
        <v>140</v>
      </c>
      <c r="E414" s="11">
        <f>C414/100*8.3</f>
        <v>8.3000000000000007</v>
      </c>
      <c r="F414" s="11">
        <f>C414/100*1.5</f>
        <v>1.5</v>
      </c>
      <c r="G414" s="11">
        <f>C414/100*58.5</f>
        <v>58.5</v>
      </c>
      <c r="H414" s="11">
        <f t="shared" si="19"/>
        <v>0</v>
      </c>
      <c r="I414" s="70"/>
      <c r="J414" s="70"/>
      <c r="K414" s="70">
        <f>C414/100*36.8</f>
        <v>36.799999999999997</v>
      </c>
      <c r="L414" s="70">
        <f>C414/100*7.6</f>
        <v>7.6</v>
      </c>
      <c r="M414" s="3">
        <v>6</v>
      </c>
    </row>
    <row r="415" spans="2:13">
      <c r="B415" s="104" t="s">
        <v>279</v>
      </c>
      <c r="C415" s="4">
        <v>100</v>
      </c>
      <c r="D415" s="5">
        <f>C415/100*170.5</f>
        <v>170.5</v>
      </c>
      <c r="E415" s="11">
        <f>C415/100*4.8</f>
        <v>4.8</v>
      </c>
      <c r="F415" s="11">
        <f>C415/100*1.8</f>
        <v>1.8</v>
      </c>
      <c r="G415" s="11">
        <f>C415/100*70.4</f>
        <v>70.400000000000006</v>
      </c>
      <c r="H415" s="11">
        <f t="shared" si="19"/>
        <v>0</v>
      </c>
      <c r="I415" s="70"/>
      <c r="J415" s="70"/>
      <c r="K415" s="70">
        <f>C415/100*36.8</f>
        <v>36.799999999999997</v>
      </c>
      <c r="L415" s="11">
        <f>C415/100*6.8637267</f>
        <v>6.8637267</v>
      </c>
      <c r="M415" s="3">
        <v>6</v>
      </c>
    </row>
    <row r="416" spans="2:13">
      <c r="B416" s="104" t="s">
        <v>280</v>
      </c>
      <c r="C416" s="4">
        <v>100</v>
      </c>
      <c r="D416" s="5">
        <f>C416/100*153</f>
        <v>153</v>
      </c>
      <c r="E416" s="11">
        <f>C416/100*7.7</f>
        <v>7.7</v>
      </c>
      <c r="F416" s="11">
        <f>C416/100*1.9</f>
        <v>1.9</v>
      </c>
      <c r="G416" s="11">
        <f>C416/100*64.7</f>
        <v>64.7</v>
      </c>
      <c r="H416" s="11">
        <f t="shared" si="19"/>
        <v>0</v>
      </c>
      <c r="I416" s="70"/>
      <c r="J416" s="70"/>
      <c r="K416" s="70">
        <f>C416/100*40.2</f>
        <v>40.200000000000003</v>
      </c>
      <c r="L416" s="11">
        <f>C416/100*7.626363</f>
        <v>7.6263629999999996</v>
      </c>
      <c r="M416" s="3">
        <v>6</v>
      </c>
    </row>
    <row r="417" spans="2:13">
      <c r="B417" s="81" t="s">
        <v>1088</v>
      </c>
      <c r="C417" s="4">
        <v>100</v>
      </c>
      <c r="D417" s="5">
        <f>C417/100*138</f>
        <v>138</v>
      </c>
      <c r="E417" s="11">
        <f>C417/100*8</f>
        <v>8</v>
      </c>
      <c r="F417" s="11">
        <f>C417/100*2</f>
        <v>2</v>
      </c>
      <c r="G417" s="11">
        <f>C417/100*56.5</f>
        <v>56.5</v>
      </c>
      <c r="H417" s="11">
        <f t="shared" si="19"/>
        <v>0</v>
      </c>
      <c r="I417" s="70"/>
      <c r="J417" s="70"/>
      <c r="K417" s="70">
        <f>C417/100*31.4</f>
        <v>31.4</v>
      </c>
      <c r="L417" s="11">
        <f>C417/100*6.8637267</f>
        <v>6.8637267</v>
      </c>
      <c r="M417" s="3">
        <v>6</v>
      </c>
    </row>
    <row r="418" spans="2:13">
      <c r="B418" s="81" t="s">
        <v>1111</v>
      </c>
      <c r="C418" s="4">
        <v>4.5</v>
      </c>
      <c r="D418" s="5">
        <f t="shared" ref="D418:D423" si="20">C418/100*15/0.045</f>
        <v>14.999999999999998</v>
      </c>
      <c r="E418" s="11">
        <f>C418/100*0.02/0.045</f>
        <v>0.02</v>
      </c>
      <c r="F418" s="11">
        <f>C418/100*0.05/0.045</f>
        <v>4.9999999999999996E-2</v>
      </c>
      <c r="G418" s="11">
        <f>C418/100*3.61/0.045</f>
        <v>3.61</v>
      </c>
      <c r="H418" s="11">
        <f t="shared" si="19"/>
        <v>0</v>
      </c>
      <c r="I418" s="70"/>
      <c r="J418" s="70"/>
      <c r="K418" s="70"/>
      <c r="L418" s="11">
        <f>C418/100*0.0660951/0.045</f>
        <v>6.6095100000000004E-2</v>
      </c>
      <c r="M418" s="19" t="s">
        <v>751</v>
      </c>
    </row>
    <row r="419" spans="2:13">
      <c r="B419" s="81" t="s">
        <v>1235</v>
      </c>
      <c r="C419" s="4">
        <v>4.5</v>
      </c>
      <c r="D419" s="5">
        <f t="shared" si="20"/>
        <v>14.999999999999998</v>
      </c>
      <c r="E419" s="11">
        <f>C419/100*0.02/0.045</f>
        <v>0.02</v>
      </c>
      <c r="F419" s="11">
        <f>C419/100*0.05/0.045</f>
        <v>4.9999999999999996E-2</v>
      </c>
      <c r="G419" s="11">
        <f>C419/100*3.61/0.045</f>
        <v>3.61</v>
      </c>
      <c r="H419" s="11">
        <f t="shared" si="19"/>
        <v>0</v>
      </c>
      <c r="I419" s="70"/>
      <c r="J419" s="70"/>
      <c r="K419" s="70">
        <f>C419/100*0.18/0.045</f>
        <v>0.18</v>
      </c>
      <c r="L419" s="11">
        <f>C419/100*0.0660951/0.045</f>
        <v>6.6095100000000004E-2</v>
      </c>
      <c r="M419" s="19" t="s">
        <v>751</v>
      </c>
    </row>
    <row r="420" spans="2:13">
      <c r="B420" s="81" t="s">
        <v>1113</v>
      </c>
      <c r="C420" s="4">
        <v>4.5</v>
      </c>
      <c r="D420" s="5">
        <f t="shared" si="20"/>
        <v>14.999999999999998</v>
      </c>
      <c r="E420" s="11">
        <f>C420/100*0.05/0.045</f>
        <v>4.9999999999999996E-2</v>
      </c>
      <c r="F420" s="11">
        <f>C420/100*0.11/0.045</f>
        <v>0.11</v>
      </c>
      <c r="G420" s="11">
        <f>C420/100*3.44/0.045</f>
        <v>3.44</v>
      </c>
      <c r="H420" s="11">
        <f t="shared" si="19"/>
        <v>0</v>
      </c>
      <c r="I420" s="70"/>
      <c r="J420" s="70"/>
      <c r="K420" s="70"/>
      <c r="L420" s="11">
        <f>C420/100*0.0737215/0.045</f>
        <v>7.3721499999999995E-2</v>
      </c>
      <c r="M420" s="19" t="s">
        <v>751</v>
      </c>
    </row>
    <row r="421" spans="2:13">
      <c r="B421" s="81" t="s">
        <v>1236</v>
      </c>
      <c r="C421" s="4">
        <v>4.5</v>
      </c>
      <c r="D421" s="5">
        <f t="shared" si="20"/>
        <v>14.999999999999998</v>
      </c>
      <c r="E421" s="11">
        <f>C421/100*0.05/0.045</f>
        <v>4.9999999999999996E-2</v>
      </c>
      <c r="F421" s="11">
        <f>C421/100*0.11/0.045</f>
        <v>0.11</v>
      </c>
      <c r="G421" s="11">
        <f>C421/100*3.44/0.045</f>
        <v>3.44</v>
      </c>
      <c r="H421" s="11">
        <f t="shared" si="19"/>
        <v>0</v>
      </c>
      <c r="I421" s="70"/>
      <c r="J421" s="70"/>
      <c r="K421" s="70">
        <f>C421/100*0.18/0.045</f>
        <v>0.18</v>
      </c>
      <c r="L421" s="11">
        <f>C421/100*0.0737215/0.045</f>
        <v>7.3721499999999995E-2</v>
      </c>
      <c r="M421" s="19" t="s">
        <v>751</v>
      </c>
    </row>
    <row r="422" spans="2:13">
      <c r="B422" s="81" t="s">
        <v>1112</v>
      </c>
      <c r="C422" s="4">
        <v>4.5</v>
      </c>
      <c r="D422" s="5">
        <f t="shared" si="20"/>
        <v>14.999999999999998</v>
      </c>
      <c r="E422" s="11">
        <f>C422/100*0.02/0.045</f>
        <v>0.02</v>
      </c>
      <c r="F422" s="11">
        <f>C422/100*0.05/0.045</f>
        <v>4.9999999999999996E-2</v>
      </c>
      <c r="G422" s="11">
        <f>C422/100*3.61/0.045</f>
        <v>3.61</v>
      </c>
      <c r="H422" s="11">
        <f t="shared" si="19"/>
        <v>0</v>
      </c>
      <c r="I422" s="70"/>
      <c r="J422" s="70"/>
      <c r="K422" s="70"/>
      <c r="L422" s="11">
        <f>C422/100*0.0686372/0.045</f>
        <v>6.8637199999999995E-2</v>
      </c>
      <c r="M422" s="19" t="s">
        <v>751</v>
      </c>
    </row>
    <row r="423" spans="2:13">
      <c r="B423" s="81" t="s">
        <v>1237</v>
      </c>
      <c r="C423" s="4">
        <v>4.5</v>
      </c>
      <c r="D423" s="5">
        <f t="shared" si="20"/>
        <v>14.999999999999998</v>
      </c>
      <c r="E423" s="11">
        <f>C423/100*0.02/0.045</f>
        <v>0.02</v>
      </c>
      <c r="F423" s="11">
        <f>C423/100*0.05/0.045</f>
        <v>4.9999999999999996E-2</v>
      </c>
      <c r="G423" s="11">
        <f>C423/100*3.61/0.045</f>
        <v>3.61</v>
      </c>
      <c r="H423" s="11">
        <f t="shared" si="19"/>
        <v>0</v>
      </c>
      <c r="I423" s="70"/>
      <c r="J423" s="70"/>
      <c r="K423" s="70">
        <f>C423/100*0.18/0.045</f>
        <v>0.18</v>
      </c>
      <c r="L423" s="11">
        <f>C423/100*0.0686372/0.045</f>
        <v>6.8637199999999995E-2</v>
      </c>
      <c r="M423" s="19" t="s">
        <v>751</v>
      </c>
    </row>
    <row r="424" spans="2:13">
      <c r="B424" s="81" t="s">
        <v>1212</v>
      </c>
      <c r="C424" s="4">
        <v>11</v>
      </c>
      <c r="D424" s="5">
        <f>C424/100*28/0.11</f>
        <v>28</v>
      </c>
      <c r="E424" s="11">
        <f>C424/100*3/0.11</f>
        <v>3</v>
      </c>
      <c r="F424" s="11">
        <f>C424/100*0.4/0.11</f>
        <v>0.4</v>
      </c>
      <c r="G424" s="11">
        <f>C424/100*4.1/0.11</f>
        <v>4.0999999999999996</v>
      </c>
      <c r="H424" s="11">
        <f>C424/100*0/0.11</f>
        <v>0</v>
      </c>
      <c r="I424" s="70"/>
      <c r="J424" s="70"/>
      <c r="K424" s="70">
        <f>C424/100*2.2/0.11</f>
        <v>2.2000000000000002</v>
      </c>
      <c r="L424" s="11">
        <f>C424/100*1.6294995/0.11</f>
        <v>1.6294995000000001</v>
      </c>
      <c r="M424" s="19" t="s">
        <v>751</v>
      </c>
    </row>
    <row r="425" spans="2:13">
      <c r="B425" s="81" t="s">
        <v>1265</v>
      </c>
      <c r="C425" s="4">
        <v>100</v>
      </c>
      <c r="D425" s="5">
        <f>C425/100*27</f>
        <v>27</v>
      </c>
      <c r="E425" s="11">
        <f>C425/100*3.9</f>
        <v>3.9</v>
      </c>
      <c r="F425" s="11">
        <f>C425/100*0</f>
        <v>0</v>
      </c>
      <c r="G425" s="11">
        <f>C425/100*2.8</f>
        <v>2.8</v>
      </c>
      <c r="H425" s="11">
        <f t="shared" ref="H425:H431" si="21">C425/100*0</f>
        <v>0</v>
      </c>
      <c r="I425" s="70"/>
      <c r="J425" s="70"/>
      <c r="K425" s="70"/>
      <c r="L425" s="11">
        <f>C425/100*12.710605</f>
        <v>12.710604999999999</v>
      </c>
      <c r="M425" s="3" t="s">
        <v>747</v>
      </c>
    </row>
    <row r="426" spans="2:13">
      <c r="B426" s="104" t="s">
        <v>840</v>
      </c>
      <c r="C426" s="4">
        <v>100</v>
      </c>
      <c r="D426" s="5">
        <f>C426/100*4</f>
        <v>4</v>
      </c>
      <c r="E426" s="11">
        <f>C426/100*0.1</f>
        <v>0.1</v>
      </c>
      <c r="F426" s="11">
        <f>C426/100*0</f>
        <v>0</v>
      </c>
      <c r="G426" s="11">
        <f>C426/100*0.9</f>
        <v>0.9</v>
      </c>
      <c r="H426" s="11">
        <f t="shared" si="21"/>
        <v>0</v>
      </c>
      <c r="I426" s="70"/>
      <c r="J426" s="70"/>
      <c r="K426" s="70"/>
      <c r="L426" s="11">
        <f>C426/100*0.1550693</f>
        <v>0.15506929999999999</v>
      </c>
      <c r="M426" s="3">
        <v>6</v>
      </c>
    </row>
    <row r="427" spans="2:13">
      <c r="B427" s="104" t="s">
        <v>1044</v>
      </c>
      <c r="C427" s="4">
        <v>100</v>
      </c>
      <c r="D427" s="5">
        <f>C427/100*98</f>
        <v>98</v>
      </c>
      <c r="E427" s="11">
        <f>C427/100*5.7</f>
        <v>5.7</v>
      </c>
      <c r="F427" s="11">
        <f>C427/100*0.4</f>
        <v>0.4</v>
      </c>
      <c r="G427" s="11">
        <f>C427/100*42.3</f>
        <v>42.3</v>
      </c>
      <c r="H427" s="11">
        <f t="shared" si="21"/>
        <v>0</v>
      </c>
      <c r="I427" s="70"/>
      <c r="J427" s="70"/>
      <c r="K427" s="70">
        <f>C427/100*2.7</f>
        <v>2.7</v>
      </c>
      <c r="L427" s="11">
        <f>C427/100*48.300299</f>
        <v>48.300299000000003</v>
      </c>
      <c r="M427" s="3">
        <v>6</v>
      </c>
    </row>
    <row r="428" spans="2:13">
      <c r="B428" s="104" t="s">
        <v>999</v>
      </c>
      <c r="C428" s="4">
        <v>100</v>
      </c>
      <c r="D428" s="5">
        <f>C428/100*140</f>
        <v>140</v>
      </c>
      <c r="E428" s="11">
        <f>C428/100*4.6</f>
        <v>4.5999999999999996</v>
      </c>
      <c r="F428" s="11">
        <f>C428/100*0</f>
        <v>0</v>
      </c>
      <c r="G428" s="11">
        <f>C428/100*27.6</f>
        <v>27.6</v>
      </c>
      <c r="H428" s="11">
        <f t="shared" si="21"/>
        <v>0</v>
      </c>
      <c r="I428" s="70"/>
      <c r="J428" s="70"/>
      <c r="K428" s="70"/>
      <c r="L428" s="11">
        <f>C428/100*11.185332</f>
        <v>11.185332000000001</v>
      </c>
      <c r="M428" s="19" t="s">
        <v>750</v>
      </c>
    </row>
    <row r="429" spans="2:13">
      <c r="B429" s="104" t="s">
        <v>281</v>
      </c>
      <c r="C429" s="4">
        <v>100</v>
      </c>
      <c r="D429" s="5">
        <f>C429/100*129</f>
        <v>129</v>
      </c>
      <c r="E429" s="11">
        <f>C429/100*4.7</f>
        <v>4.7</v>
      </c>
      <c r="F429" s="11">
        <f>C429/100*0</f>
        <v>0</v>
      </c>
      <c r="G429" s="11">
        <f>C429/100*27.4</f>
        <v>27.4</v>
      </c>
      <c r="H429" s="11">
        <f t="shared" si="21"/>
        <v>0</v>
      </c>
      <c r="I429" s="70"/>
      <c r="J429" s="70"/>
      <c r="K429" s="70"/>
      <c r="L429" s="70">
        <f>C429/100*10.5</f>
        <v>10.5</v>
      </c>
      <c r="M429" s="19" t="s">
        <v>750</v>
      </c>
    </row>
    <row r="430" spans="2:13">
      <c r="B430" s="104" t="s">
        <v>282</v>
      </c>
      <c r="C430" s="4">
        <v>80</v>
      </c>
      <c r="D430" s="5">
        <f>C430/100*75/0.8</f>
        <v>75</v>
      </c>
      <c r="E430" s="11">
        <f>C430/100*3.6/0.8</f>
        <v>3.6</v>
      </c>
      <c r="F430" s="11">
        <f>C430/100*3.4/0.8</f>
        <v>3.4</v>
      </c>
      <c r="G430" s="11">
        <f>C430/100*7.4/0.8</f>
        <v>7.4</v>
      </c>
      <c r="H430" s="11">
        <f t="shared" si="21"/>
        <v>0</v>
      </c>
      <c r="I430" s="70"/>
      <c r="J430" s="70"/>
      <c r="K430" s="70"/>
      <c r="L430" s="11">
        <f>C430/100*0.7905996/0.8</f>
        <v>0.79059959999999996</v>
      </c>
      <c r="M430" s="19" t="s">
        <v>750</v>
      </c>
    </row>
    <row r="431" spans="2:13">
      <c r="B431" s="104" t="s">
        <v>283</v>
      </c>
      <c r="C431" s="4">
        <v>30</v>
      </c>
      <c r="D431" s="5">
        <f>C431/100*55/0.3</f>
        <v>55</v>
      </c>
      <c r="E431" s="11">
        <f>C431/100*3.7/0.3</f>
        <v>3.7000000000000006</v>
      </c>
      <c r="F431" s="11">
        <f>C431/100*1.5/0.3</f>
        <v>1.5</v>
      </c>
      <c r="G431" s="11">
        <f>C431/100*7.7/0.3</f>
        <v>7.7</v>
      </c>
      <c r="H431" s="11">
        <f t="shared" si="21"/>
        <v>0</v>
      </c>
      <c r="I431" s="70"/>
      <c r="J431" s="70"/>
      <c r="K431" s="70"/>
      <c r="L431" s="70"/>
      <c r="M431" s="19" t="s">
        <v>751</v>
      </c>
    </row>
    <row r="432" spans="2:13">
      <c r="B432" s="81" t="s">
        <v>830</v>
      </c>
      <c r="C432" s="4">
        <v>100</v>
      </c>
      <c r="D432" s="5">
        <f>C432/100*139</f>
        <v>139</v>
      </c>
      <c r="E432" s="11">
        <f>C432/100*22.51</f>
        <v>22.51</v>
      </c>
      <c r="F432" s="11">
        <f>C432/100*4.51</f>
        <v>4.51</v>
      </c>
      <c r="G432" s="11">
        <f>C432/100*0.11</f>
        <v>0.11</v>
      </c>
      <c r="H432" s="11">
        <f>C432/100*59</f>
        <v>59</v>
      </c>
      <c r="I432" s="70"/>
      <c r="J432" s="70"/>
      <c r="K432" s="70"/>
      <c r="L432" s="70">
        <f>C432/100*0.1449008</f>
        <v>0.1449008</v>
      </c>
      <c r="M432" s="3">
        <v>3</v>
      </c>
    </row>
    <row r="433" spans="2:13">
      <c r="B433" s="104" t="s">
        <v>284</v>
      </c>
      <c r="C433" s="4">
        <v>100</v>
      </c>
      <c r="D433" s="5">
        <f>C433/100*102</f>
        <v>102</v>
      </c>
      <c r="E433" s="11">
        <f>C433/100*9.6</f>
        <v>9.6</v>
      </c>
      <c r="F433" s="11">
        <f>C433/100*0</f>
        <v>0</v>
      </c>
      <c r="G433" s="11">
        <f>C433/100*15.9</f>
        <v>15.9</v>
      </c>
      <c r="H433" s="11">
        <f>C433/100*0</f>
        <v>0</v>
      </c>
      <c r="I433" s="70"/>
      <c r="J433" s="70"/>
      <c r="K433" s="70"/>
      <c r="L433" s="11">
        <f>C433/100*12.456392</f>
        <v>12.456391999999999</v>
      </c>
      <c r="M433" s="19" t="s">
        <v>750</v>
      </c>
    </row>
    <row r="434" spans="2:13">
      <c r="B434" s="104" t="s">
        <v>285</v>
      </c>
      <c r="C434" s="4">
        <v>100</v>
      </c>
      <c r="D434" s="5">
        <f>C434/100*312</f>
        <v>312</v>
      </c>
      <c r="E434" s="11">
        <f>C434/100*64.9</f>
        <v>64.900000000000006</v>
      </c>
      <c r="F434" s="11">
        <f>C434/100*4</f>
        <v>4</v>
      </c>
      <c r="G434" s="11">
        <f>C434/100*0.1</f>
        <v>0.1</v>
      </c>
      <c r="H434" s="11">
        <f>C434/100*788.6</f>
        <v>788.6</v>
      </c>
      <c r="I434" s="70"/>
      <c r="J434" s="70"/>
      <c r="K434" s="70"/>
      <c r="L434" s="11">
        <f>C434/100*3</f>
        <v>3</v>
      </c>
      <c r="M434" s="3">
        <v>3</v>
      </c>
    </row>
    <row r="435" spans="2:13">
      <c r="B435" s="104" t="s">
        <v>1059</v>
      </c>
      <c r="C435" s="4">
        <v>13</v>
      </c>
      <c r="D435" s="5">
        <f>C435/100*41/0.13</f>
        <v>41</v>
      </c>
      <c r="E435" s="11">
        <f>C435/100*8.4/0.13</f>
        <v>8.4</v>
      </c>
      <c r="F435" s="11">
        <f>C435/100*0.5/0.13</f>
        <v>0.5</v>
      </c>
      <c r="G435" s="11">
        <f>C435/100*0.01/0.13</f>
        <v>0.01</v>
      </c>
      <c r="H435" s="11">
        <f>C435/100*91/0.13</f>
        <v>91</v>
      </c>
      <c r="I435" s="70"/>
      <c r="J435" s="70"/>
      <c r="K435" s="70"/>
      <c r="L435" s="11">
        <f>C435/100*0.3965708/0.13</f>
        <v>0.3965708</v>
      </c>
      <c r="M435" s="3">
        <v>3</v>
      </c>
    </row>
    <row r="436" spans="2:13">
      <c r="B436" s="104" t="s">
        <v>286</v>
      </c>
      <c r="C436" s="4">
        <v>20</v>
      </c>
      <c r="D436" s="5">
        <f>C436/100*62/0.2</f>
        <v>62</v>
      </c>
      <c r="E436" s="11">
        <f>C436/100*13/0.2</f>
        <v>13</v>
      </c>
      <c r="F436" s="11">
        <f>C436/100*0.8/0.2</f>
        <v>0.80000000000000016</v>
      </c>
      <c r="G436" s="11">
        <f>C436/100*0/0.2</f>
        <v>0</v>
      </c>
      <c r="H436" s="11">
        <f>C436/100*156.7/0.2</f>
        <v>156.69999999999999</v>
      </c>
      <c r="I436" s="70"/>
      <c r="J436" s="70"/>
      <c r="K436" s="70"/>
      <c r="L436" s="70">
        <f>C436/100*0.610109/0.2</f>
        <v>0.61010900000000001</v>
      </c>
      <c r="M436" s="3">
        <v>3</v>
      </c>
    </row>
    <row r="437" spans="2:13">
      <c r="B437" s="81" t="s">
        <v>287</v>
      </c>
      <c r="C437" s="4">
        <v>100</v>
      </c>
      <c r="D437" s="5">
        <f>C437/100*200</f>
        <v>200</v>
      </c>
      <c r="E437" s="11">
        <f>C437/100*3.4</f>
        <v>3.4</v>
      </c>
      <c r="F437" s="11">
        <f>C437/100*0.2</f>
        <v>0.2</v>
      </c>
      <c r="G437" s="11">
        <f>C437/100*46.1</f>
        <v>46.1</v>
      </c>
      <c r="H437" s="11">
        <f>C437/100*0</f>
        <v>0</v>
      </c>
      <c r="I437" s="70">
        <f>C437/100*0.1</f>
        <v>0.1</v>
      </c>
      <c r="J437" s="70">
        <f>C437/100*1.6</f>
        <v>1.6</v>
      </c>
      <c r="K437" s="70">
        <f>C437/100*1.7</f>
        <v>1.7</v>
      </c>
      <c r="L437" s="70">
        <f>C437/100*0.1</f>
        <v>0.1</v>
      </c>
      <c r="M437" s="19" t="s">
        <v>751</v>
      </c>
    </row>
    <row r="438" spans="2:13">
      <c r="B438" s="81" t="s">
        <v>288</v>
      </c>
      <c r="C438" s="4">
        <v>100</v>
      </c>
      <c r="D438" s="5">
        <f>C438/100*238</f>
        <v>238</v>
      </c>
      <c r="E438" s="11">
        <f>C438/100*4.5</f>
        <v>4.5</v>
      </c>
      <c r="F438" s="11">
        <f>C438/100*0.4</f>
        <v>0.4</v>
      </c>
      <c r="G438" s="11">
        <f>C438/100*54.2</f>
        <v>54.2</v>
      </c>
      <c r="H438" s="11">
        <f>C438/100*0</f>
        <v>0</v>
      </c>
      <c r="I438" s="70">
        <f>C438/100*0.3</f>
        <v>0.3</v>
      </c>
      <c r="J438" s="70">
        <f>C438/100*2.3</f>
        <v>2.2999999999999998</v>
      </c>
      <c r="K438" s="70">
        <f>C438/100*2.6</f>
        <v>2.6</v>
      </c>
      <c r="L438" s="70">
        <f>C438/100*0.1</f>
        <v>0.1</v>
      </c>
      <c r="M438" s="19" t="s">
        <v>751</v>
      </c>
    </row>
    <row r="439" spans="2:13">
      <c r="B439" s="104" t="s">
        <v>289</v>
      </c>
      <c r="C439" s="4">
        <v>100</v>
      </c>
      <c r="D439" s="5">
        <f>C439/100*60</f>
        <v>60</v>
      </c>
      <c r="E439" s="11">
        <f>C439/100*1</f>
        <v>1</v>
      </c>
      <c r="F439" s="11">
        <f>C439/100*0.2</f>
        <v>0.2</v>
      </c>
      <c r="G439" s="11">
        <f>C439/100*15.2</f>
        <v>15.2</v>
      </c>
      <c r="H439" s="11">
        <f>C439/100*0</f>
        <v>0</v>
      </c>
      <c r="I439" s="70">
        <f>C439/100*0.1</f>
        <v>0.1</v>
      </c>
      <c r="J439" s="70">
        <f>C439/100*1.1</f>
        <v>1.1000000000000001</v>
      </c>
      <c r="K439" s="70">
        <f>C439/100*1.2</f>
        <v>1.2</v>
      </c>
      <c r="L439" s="70">
        <f>C439/100*0</f>
        <v>0</v>
      </c>
      <c r="M439" s="3">
        <v>2</v>
      </c>
    </row>
    <row r="440" spans="2:13">
      <c r="B440" s="104" t="s">
        <v>290</v>
      </c>
      <c r="C440" s="4">
        <v>100</v>
      </c>
      <c r="D440" s="5">
        <f>C440/100*154</f>
        <v>154</v>
      </c>
      <c r="E440" s="11">
        <f>C440/100*21.7</f>
        <v>21.7</v>
      </c>
      <c r="F440" s="11">
        <f>C440/100*6.6</f>
        <v>6.6</v>
      </c>
      <c r="G440" s="11">
        <f>C440/100*0.1</f>
        <v>0.1</v>
      </c>
      <c r="H440" s="11">
        <f>C440/100*58</f>
        <v>58</v>
      </c>
      <c r="I440" s="70"/>
      <c r="J440" s="70"/>
      <c r="K440" s="70"/>
      <c r="L440" s="70">
        <f>C440/100*0.2</f>
        <v>0.2</v>
      </c>
      <c r="M440" s="3">
        <v>3</v>
      </c>
    </row>
    <row r="441" spans="2:13">
      <c r="B441" s="104" t="s">
        <v>291</v>
      </c>
      <c r="C441" s="4">
        <v>100</v>
      </c>
      <c r="D441" s="5">
        <f>C441/100*191</f>
        <v>191</v>
      </c>
      <c r="E441" s="11">
        <f>C441/100*28.1</f>
        <v>28.1</v>
      </c>
      <c r="F441" s="11">
        <f>C441/100*7.7</f>
        <v>7.7</v>
      </c>
      <c r="G441" s="11">
        <f>C441/100*0.1</f>
        <v>0.1</v>
      </c>
      <c r="H441" s="11">
        <f>C441/100*88</f>
        <v>88</v>
      </c>
      <c r="I441" s="70"/>
      <c r="J441" s="70"/>
      <c r="K441" s="70"/>
      <c r="L441" s="70">
        <f>C441/100*0.2</f>
        <v>0.2</v>
      </c>
      <c r="M441" s="3">
        <v>3</v>
      </c>
    </row>
    <row r="442" spans="2:13">
      <c r="B442" s="104" t="s">
        <v>292</v>
      </c>
      <c r="C442" s="4">
        <v>100</v>
      </c>
      <c r="D442" s="5">
        <f>C442/100*204</f>
        <v>204</v>
      </c>
      <c r="E442" s="11">
        <f>C442/100*19.6</f>
        <v>19.600000000000001</v>
      </c>
      <c r="F442" s="11">
        <f>C442/100*12.8</f>
        <v>12.8</v>
      </c>
      <c r="G442" s="11">
        <f>C442/100*0.3</f>
        <v>0.3</v>
      </c>
      <c r="H442" s="11">
        <f>C442/100*60</f>
        <v>60</v>
      </c>
      <c r="I442" s="70"/>
      <c r="J442" s="70"/>
      <c r="K442" s="70"/>
      <c r="L442" s="70">
        <f>C442/100*0.1</f>
        <v>0.1</v>
      </c>
      <c r="M442" s="3">
        <v>3</v>
      </c>
    </row>
    <row r="443" spans="2:13">
      <c r="B443" s="104" t="s">
        <v>293</v>
      </c>
      <c r="C443" s="4">
        <v>100</v>
      </c>
      <c r="D443" s="5">
        <f>C443/100*257</f>
        <v>257</v>
      </c>
      <c r="E443" s="11">
        <f>C443/100*25.2</f>
        <v>25.2</v>
      </c>
      <c r="F443" s="11">
        <f>C443/100*15.8</f>
        <v>15.8</v>
      </c>
      <c r="G443" s="11">
        <f>C443/100*0.4</f>
        <v>0.4</v>
      </c>
      <c r="H443" s="11">
        <f>C443/100*88</f>
        <v>88</v>
      </c>
      <c r="I443" s="70"/>
      <c r="J443" s="70"/>
      <c r="K443" s="70"/>
      <c r="L443" s="70">
        <f>C443/100*0.2</f>
        <v>0.2</v>
      </c>
      <c r="M443" s="3">
        <v>3</v>
      </c>
    </row>
    <row r="444" spans="2:13">
      <c r="B444" s="104" t="s">
        <v>294</v>
      </c>
      <c r="C444" s="4">
        <v>100</v>
      </c>
      <c r="D444" s="5">
        <f>C444/100*226</f>
        <v>226</v>
      </c>
      <c r="E444" s="11">
        <f>C444/100*20.8</f>
        <v>20.8</v>
      </c>
      <c r="F444" s="11">
        <f>C444/100*14.7</f>
        <v>14.7</v>
      </c>
      <c r="G444" s="11">
        <f>C444/100*0</f>
        <v>0</v>
      </c>
      <c r="H444" s="11">
        <f>C444/100*60</f>
        <v>60</v>
      </c>
      <c r="I444" s="70"/>
      <c r="J444" s="70"/>
      <c r="K444" s="70"/>
      <c r="L444" s="70">
        <f>C444/100*0.1143954</f>
        <v>0.11439539999999999</v>
      </c>
      <c r="M444" s="3">
        <v>3</v>
      </c>
    </row>
    <row r="445" spans="2:13">
      <c r="B445" s="104" t="s">
        <v>930</v>
      </c>
      <c r="C445" s="1">
        <v>100</v>
      </c>
      <c r="D445" s="5">
        <f>C445/100*290.41</f>
        <v>290.41000000000003</v>
      </c>
      <c r="E445" s="11">
        <f>C445/100*26.73</f>
        <v>26.73</v>
      </c>
      <c r="F445" s="11">
        <f>C445/100*18.89</f>
        <v>18.89</v>
      </c>
      <c r="G445" s="11">
        <f>C445/100*0</f>
        <v>0</v>
      </c>
      <c r="H445" s="11">
        <f>C445/100*88</f>
        <v>88</v>
      </c>
      <c r="I445" s="70"/>
      <c r="J445" s="70"/>
      <c r="K445" s="70"/>
      <c r="L445" s="11">
        <f>C445/100*0.15</f>
        <v>0.15</v>
      </c>
      <c r="M445" s="3">
        <v>3</v>
      </c>
    </row>
    <row r="446" spans="2:13">
      <c r="B446" s="104" t="s">
        <v>931</v>
      </c>
      <c r="C446" s="1">
        <v>100</v>
      </c>
      <c r="D446" s="5">
        <f>C446/100*290.41</f>
        <v>290.41000000000003</v>
      </c>
      <c r="E446" s="11">
        <f>C446/100*26.73</f>
        <v>26.73</v>
      </c>
      <c r="F446" s="11">
        <f>C446/100*18.89</f>
        <v>18.89</v>
      </c>
      <c r="G446" s="11">
        <f>C446/100*0</f>
        <v>0</v>
      </c>
      <c r="H446" s="11">
        <f>C446/100*88</f>
        <v>88</v>
      </c>
      <c r="I446" s="70"/>
      <c r="J446" s="70"/>
      <c r="K446" s="70"/>
      <c r="L446" s="11">
        <f>C446/100*1.5</f>
        <v>1.5</v>
      </c>
      <c r="M446" s="3">
        <v>3</v>
      </c>
    </row>
    <row r="447" spans="2:13">
      <c r="B447" s="104" t="s">
        <v>295</v>
      </c>
      <c r="C447" s="4">
        <v>100</v>
      </c>
      <c r="D447" s="5">
        <f>C447/100*154</f>
        <v>154</v>
      </c>
      <c r="E447" s="11">
        <f>C447/100*22.8</f>
        <v>22.8</v>
      </c>
      <c r="F447" s="11">
        <f>C447/100*6.1</f>
        <v>6.1</v>
      </c>
      <c r="G447" s="11">
        <f>C447/100*0.1</f>
        <v>0.1</v>
      </c>
      <c r="H447" s="11">
        <f>C447/100*70</f>
        <v>70</v>
      </c>
      <c r="I447" s="70"/>
      <c r="J447" s="70"/>
      <c r="K447" s="70"/>
      <c r="L447" s="11">
        <f>C447/100*3</f>
        <v>3</v>
      </c>
      <c r="M447" s="3">
        <v>3</v>
      </c>
    </row>
    <row r="448" spans="2:13">
      <c r="B448" s="104" t="s">
        <v>296</v>
      </c>
      <c r="C448" s="4">
        <v>100</v>
      </c>
      <c r="D448" s="5">
        <f>C448/100*198</f>
        <v>198</v>
      </c>
      <c r="E448" s="11">
        <f>C448/100*29.3</f>
        <v>29.3</v>
      </c>
      <c r="F448" s="11">
        <f>C448/100*7.9</f>
        <v>7.9</v>
      </c>
      <c r="G448" s="11">
        <f>C448/100*0.1</f>
        <v>0.1</v>
      </c>
      <c r="H448" s="11">
        <f>C448/100*95</f>
        <v>95</v>
      </c>
      <c r="I448" s="70"/>
      <c r="J448" s="70"/>
      <c r="K448" s="70"/>
      <c r="L448" s="11">
        <f>C448/100*2.1</f>
        <v>2.1</v>
      </c>
      <c r="M448" s="3">
        <v>3</v>
      </c>
    </row>
    <row r="449" spans="2:13">
      <c r="B449" s="104" t="s">
        <v>868</v>
      </c>
      <c r="C449" s="4">
        <v>100</v>
      </c>
      <c r="D449" s="5">
        <f>C449/100*199</f>
        <v>199</v>
      </c>
      <c r="E449" s="11">
        <f>C449/100*22.4</f>
        <v>22.4</v>
      </c>
      <c r="F449" s="11">
        <f>C449/100*11.1</f>
        <v>11.1</v>
      </c>
      <c r="G449" s="11">
        <f>C449/100*0.1</f>
        <v>0.1</v>
      </c>
      <c r="H449" s="11">
        <f>C449/100*64</f>
        <v>64</v>
      </c>
      <c r="I449" s="70"/>
      <c r="J449" s="70"/>
      <c r="K449" s="70"/>
      <c r="L449" s="11">
        <f>C449/100*1.8303271</f>
        <v>1.8303271000000001</v>
      </c>
      <c r="M449" s="3">
        <v>3</v>
      </c>
    </row>
    <row r="450" spans="2:13">
      <c r="B450" s="104" t="s">
        <v>1120</v>
      </c>
      <c r="C450" s="4">
        <v>100</v>
      </c>
      <c r="D450" s="5">
        <f>C450/100*147.38</f>
        <v>147.38</v>
      </c>
      <c r="E450" s="11">
        <f>C450/100*24.71</f>
        <v>24.71</v>
      </c>
      <c r="F450" s="11">
        <f>C450/100*4.54</f>
        <v>4.54</v>
      </c>
      <c r="G450" s="11">
        <f>C450/100*0.11</f>
        <v>0.11</v>
      </c>
      <c r="H450" s="11">
        <f>C450/100*63.3</f>
        <v>63.3</v>
      </c>
      <c r="I450" s="70"/>
      <c r="J450" s="70"/>
      <c r="K450" s="70"/>
      <c r="L450" s="70">
        <f>C450/100*0.22</f>
        <v>0.22</v>
      </c>
      <c r="M450" s="3">
        <v>3</v>
      </c>
    </row>
    <row r="451" spans="2:13">
      <c r="B451" s="104" t="s">
        <v>297</v>
      </c>
      <c r="C451" s="4">
        <v>100</v>
      </c>
      <c r="D451" s="5">
        <f>C451/100*133</f>
        <v>133</v>
      </c>
      <c r="E451" s="11">
        <f>C451/100*22.3</f>
        <v>22.3</v>
      </c>
      <c r="F451" s="11">
        <f>C451/100*4.1</f>
        <v>4.0999999999999996</v>
      </c>
      <c r="G451" s="11">
        <f>C451/100*0.1</f>
        <v>0.1</v>
      </c>
      <c r="H451" s="11">
        <f>C451/100*59</f>
        <v>59</v>
      </c>
      <c r="I451" s="70"/>
      <c r="J451" s="70"/>
      <c r="K451" s="70"/>
      <c r="L451" s="70">
        <f>C451/100*0.2</f>
        <v>0.2</v>
      </c>
      <c r="M451" s="3">
        <v>3</v>
      </c>
    </row>
    <row r="452" spans="2:13">
      <c r="B452" s="104" t="s">
        <v>298</v>
      </c>
      <c r="C452" s="4">
        <v>100</v>
      </c>
      <c r="D452" s="5">
        <f>C452/100*171</f>
        <v>171</v>
      </c>
      <c r="E452" s="11">
        <f>C452/100*29.1</f>
        <v>29.1</v>
      </c>
      <c r="F452" s="11">
        <f>C452/100*5.1</f>
        <v>5.0999999999999996</v>
      </c>
      <c r="G452" s="11">
        <f>C452/100*0.1</f>
        <v>0.1</v>
      </c>
      <c r="H452" s="11">
        <f>C452/100*85</f>
        <v>85</v>
      </c>
      <c r="I452" s="70"/>
      <c r="J452" s="70"/>
      <c r="K452" s="70"/>
      <c r="L452" s="70">
        <f>C452/100*0.2</f>
        <v>0.2</v>
      </c>
      <c r="M452" s="3">
        <v>3</v>
      </c>
    </row>
    <row r="453" spans="2:13">
      <c r="B453" s="104" t="s">
        <v>299</v>
      </c>
      <c r="C453" s="4">
        <v>100</v>
      </c>
      <c r="D453" s="5">
        <f>C453/100*109</f>
        <v>109</v>
      </c>
      <c r="E453" s="11">
        <f>C453/100*0.4</f>
        <v>0.4</v>
      </c>
      <c r="F453" s="11">
        <f>C453/100*0</f>
        <v>0</v>
      </c>
      <c r="G453" s="11">
        <f>C453/100*4.9</f>
        <v>4.9000000000000004</v>
      </c>
      <c r="H453" s="11">
        <f>C453/100*0</f>
        <v>0</v>
      </c>
      <c r="I453" s="70"/>
      <c r="J453" s="70"/>
      <c r="K453" s="70"/>
      <c r="L453" s="11"/>
      <c r="M453" s="19" t="s">
        <v>751</v>
      </c>
    </row>
    <row r="454" spans="2:13">
      <c r="B454" s="104" t="s">
        <v>300</v>
      </c>
      <c r="C454" s="4">
        <v>100</v>
      </c>
      <c r="D454" s="5">
        <f>C454/100*94</f>
        <v>94</v>
      </c>
      <c r="E454" s="11">
        <f>C454/100*0.3</f>
        <v>0.3</v>
      </c>
      <c r="F454" s="11">
        <f>C454/100*0</f>
        <v>0</v>
      </c>
      <c r="G454" s="11">
        <f>C454/100*4.2</f>
        <v>4.2</v>
      </c>
      <c r="H454" s="11">
        <f>C454/100*0</f>
        <v>0</v>
      </c>
      <c r="I454" s="70"/>
      <c r="J454" s="70"/>
      <c r="K454" s="70"/>
      <c r="L454" s="11">
        <f>C454/100*0.0050824</f>
        <v>5.0823999999999999E-3</v>
      </c>
      <c r="M454" s="19" t="s">
        <v>751</v>
      </c>
    </row>
    <row r="455" spans="2:13">
      <c r="B455" s="104" t="s">
        <v>301</v>
      </c>
      <c r="C455" s="4">
        <v>100</v>
      </c>
      <c r="D455" s="5">
        <f>C455/100*138</f>
        <v>138</v>
      </c>
      <c r="E455" s="11">
        <f>C455/100*22.5</f>
        <v>22.5</v>
      </c>
      <c r="F455" s="11">
        <f>C455/100*4.5</f>
        <v>4.5</v>
      </c>
      <c r="G455" s="11">
        <f>C455/100*0.1</f>
        <v>0.1</v>
      </c>
      <c r="H455" s="11">
        <f>C455/100*51</f>
        <v>51</v>
      </c>
      <c r="I455" s="70"/>
      <c r="J455" s="70"/>
      <c r="K455" s="70"/>
      <c r="L455" s="70">
        <f>C455/100*0.1</f>
        <v>0.1</v>
      </c>
      <c r="M455" s="3">
        <v>3</v>
      </c>
    </row>
    <row r="456" spans="2:13">
      <c r="B456" s="104" t="s">
        <v>302</v>
      </c>
      <c r="C456" s="4">
        <v>100</v>
      </c>
      <c r="D456" s="5">
        <f>C456/100*177</f>
        <v>177</v>
      </c>
      <c r="E456" s="11">
        <f>C456/100*28.5</f>
        <v>28.5</v>
      </c>
      <c r="F456" s="11">
        <f>C456/100*6</f>
        <v>6</v>
      </c>
      <c r="G456" s="11">
        <f>C456/100*0.1</f>
        <v>0.1</v>
      </c>
      <c r="H456" s="11">
        <f>C456/100*76</f>
        <v>76</v>
      </c>
      <c r="I456" s="70"/>
      <c r="J456" s="70"/>
      <c r="K456" s="70"/>
      <c r="L456" s="70">
        <f>C456/100*0.2</f>
        <v>0.2</v>
      </c>
      <c r="M456" s="3">
        <v>3</v>
      </c>
    </row>
    <row r="457" spans="2:13">
      <c r="B457" s="104" t="s">
        <v>303</v>
      </c>
      <c r="C457" s="4">
        <v>100</v>
      </c>
      <c r="D457" s="5">
        <f>C457/100*227</f>
        <v>227</v>
      </c>
      <c r="E457" s="11">
        <f>C457/100*14.9</f>
        <v>14.9</v>
      </c>
      <c r="F457" s="11">
        <f>C457/100*1.5</f>
        <v>1.5</v>
      </c>
      <c r="G457" s="11">
        <f>C457/100*23.8</f>
        <v>23.8</v>
      </c>
      <c r="H457" s="11">
        <f>C457/100*0</f>
        <v>0</v>
      </c>
      <c r="I457" s="70"/>
      <c r="J457" s="70"/>
      <c r="K457" s="70">
        <f>C457/100*5.2</f>
        <v>5.2</v>
      </c>
      <c r="L457" s="11">
        <f>C457/100*0.0127106</f>
        <v>1.2710600000000001E-2</v>
      </c>
      <c r="M457" s="19" t="s">
        <v>750</v>
      </c>
    </row>
    <row r="458" spans="2:13">
      <c r="B458" s="81" t="s">
        <v>1080</v>
      </c>
      <c r="C458" s="4">
        <v>100</v>
      </c>
      <c r="D458" s="5">
        <f>C458/100*85</f>
        <v>85</v>
      </c>
      <c r="E458" s="11">
        <f>C458/100*17.3</f>
        <v>17.3</v>
      </c>
      <c r="F458" s="11">
        <f>C458/100*2.85</f>
        <v>2.85</v>
      </c>
      <c r="G458" s="11">
        <f>C458/100*0.1</f>
        <v>0.1</v>
      </c>
      <c r="H458" s="11">
        <f>C458/100*37.7</f>
        <v>37.700000000000003</v>
      </c>
      <c r="I458" s="70"/>
      <c r="J458" s="70"/>
      <c r="K458" s="70"/>
      <c r="L458" s="11">
        <f>C458/100*2.3082458</f>
        <v>2.3082457999999999</v>
      </c>
      <c r="M458" s="3">
        <v>3</v>
      </c>
    </row>
    <row r="459" spans="2:13">
      <c r="B459" s="104" t="s">
        <v>874</v>
      </c>
      <c r="C459" s="4">
        <v>140</v>
      </c>
      <c r="D459" s="5">
        <f>C459/100*181/1.4</f>
        <v>181</v>
      </c>
      <c r="E459" s="11">
        <f>C459/100*18.5/1.4</f>
        <v>18.5</v>
      </c>
      <c r="F459" s="11">
        <f>C459/100*7.4/1.4</f>
        <v>7.4</v>
      </c>
      <c r="G459" s="11">
        <f>C459/100*10.1/1.4</f>
        <v>10.1</v>
      </c>
      <c r="H459" s="11">
        <f>C459/100*60/1.4</f>
        <v>60.000000000000007</v>
      </c>
      <c r="I459" s="70"/>
      <c r="J459" s="70"/>
      <c r="K459" s="70"/>
      <c r="L459" s="11">
        <f>C459/100*3.5843906/1.4</f>
        <v>3.5843905999999994</v>
      </c>
      <c r="M459" s="3">
        <v>3</v>
      </c>
    </row>
    <row r="460" spans="2:13">
      <c r="B460" s="104" t="s">
        <v>852</v>
      </c>
      <c r="C460" s="4">
        <v>90</v>
      </c>
      <c r="D460" s="5">
        <f>C460/100*129/0.9</f>
        <v>129</v>
      </c>
      <c r="E460" s="11">
        <f>C460/100*14.7/0.9</f>
        <v>14.7</v>
      </c>
      <c r="F460" s="11">
        <f>C460/100*4.2/0.9</f>
        <v>4.2</v>
      </c>
      <c r="G460" s="11">
        <f>C460/100*8.1/0.9</f>
        <v>8.1</v>
      </c>
      <c r="H460" s="11">
        <f>C460/100*42.8/0.9</f>
        <v>42.8</v>
      </c>
      <c r="I460" s="70"/>
      <c r="J460" s="70"/>
      <c r="K460" s="70"/>
      <c r="L460" s="11">
        <f>C460/100*1.3396977/0.9</f>
        <v>1.3396977000000001</v>
      </c>
      <c r="M460" s="19" t="s">
        <v>751</v>
      </c>
    </row>
    <row r="461" spans="2:13">
      <c r="B461" s="104" t="s">
        <v>304</v>
      </c>
      <c r="C461" s="4">
        <v>90</v>
      </c>
      <c r="D461" s="5">
        <f>C461/100*129/0.9</f>
        <v>129</v>
      </c>
      <c r="E461" s="11">
        <f>C461/100*14.7/0.9</f>
        <v>14.7</v>
      </c>
      <c r="F461" s="11">
        <f>C461/100*4.2/0.9</f>
        <v>4.2</v>
      </c>
      <c r="G461" s="11">
        <f>C461/100*8.1/0.9</f>
        <v>8.1</v>
      </c>
      <c r="H461" s="11">
        <f>C461/100*42.8/0.9</f>
        <v>42.8</v>
      </c>
      <c r="I461" s="70"/>
      <c r="J461" s="70"/>
      <c r="K461" s="70"/>
      <c r="L461" s="11">
        <f>C461/100*1.3396977/0.9</f>
        <v>1.3396977000000001</v>
      </c>
      <c r="M461" s="19" t="s">
        <v>751</v>
      </c>
    </row>
    <row r="462" spans="2:13">
      <c r="B462" s="81" t="s">
        <v>1211</v>
      </c>
      <c r="C462" s="4">
        <v>52</v>
      </c>
      <c r="D462" s="5">
        <f>C462/100*154/0.52</f>
        <v>154</v>
      </c>
      <c r="E462" s="11">
        <f>C462/100*27.5/0.52</f>
        <v>27.5</v>
      </c>
      <c r="F462" s="11">
        <f>C462/100*3.3/0.52</f>
        <v>3.3</v>
      </c>
      <c r="G462" s="11">
        <f>C462/100*3.5/0.52</f>
        <v>3.5</v>
      </c>
      <c r="H462" s="11">
        <f>C462/100*47.826/0.52</f>
        <v>47.826000000000001</v>
      </c>
      <c r="I462" s="70"/>
      <c r="J462" s="70"/>
      <c r="K462" s="70"/>
      <c r="L462" s="11">
        <f>C462/100*2.290951/0.52</f>
        <v>2.2909510000000002</v>
      </c>
      <c r="M462" s="19" t="s">
        <v>751</v>
      </c>
    </row>
    <row r="463" spans="2:13">
      <c r="B463" s="104" t="s">
        <v>896</v>
      </c>
      <c r="C463" s="4">
        <v>90</v>
      </c>
      <c r="D463" s="5">
        <f>C463/100*137/0.9</f>
        <v>137</v>
      </c>
      <c r="E463" s="11">
        <f>C463/100*14.2/0.9</f>
        <v>14.2</v>
      </c>
      <c r="F463" s="11">
        <f>C463/100*8.9/0.9</f>
        <v>8.9</v>
      </c>
      <c r="G463" s="11">
        <f>C463/100*0.1/0.9</f>
        <v>0.1</v>
      </c>
      <c r="H463" s="11">
        <f>C463/100*80.1/0.9</f>
        <v>80.100000000000009</v>
      </c>
      <c r="I463" s="70"/>
      <c r="J463" s="70"/>
      <c r="K463" s="70"/>
      <c r="L463" s="11">
        <f>C463/100*0.6431566/0.9</f>
        <v>0.64315659999999997</v>
      </c>
      <c r="M463" s="3">
        <v>3</v>
      </c>
    </row>
    <row r="464" spans="2:13">
      <c r="B464" s="104" t="s">
        <v>305</v>
      </c>
      <c r="C464" s="4">
        <v>100</v>
      </c>
      <c r="D464" s="5">
        <f>C464/100*24</f>
        <v>24</v>
      </c>
      <c r="E464" s="11">
        <f>C464/100*2.5</f>
        <v>2.5</v>
      </c>
      <c r="F464" s="11">
        <f>C464/100*0.1</f>
        <v>0.1</v>
      </c>
      <c r="G464" s="11">
        <f>C464/100*4.8</f>
        <v>4.8</v>
      </c>
      <c r="H464" s="11">
        <f>C464/100*0</f>
        <v>0</v>
      </c>
      <c r="I464" s="70"/>
      <c r="J464" s="70"/>
      <c r="K464" s="70">
        <f>C464/100*4.2</f>
        <v>4.2</v>
      </c>
      <c r="L464" s="70"/>
      <c r="M464" s="3">
        <v>6</v>
      </c>
    </row>
    <row r="465" spans="2:13">
      <c r="B465" s="104" t="s">
        <v>944</v>
      </c>
      <c r="C465" s="4">
        <v>100</v>
      </c>
      <c r="D465" s="5">
        <f>C465/100*336</f>
        <v>336</v>
      </c>
      <c r="E465" s="11">
        <f>C465/100*23.9</f>
        <v>23.9</v>
      </c>
      <c r="F465" s="11">
        <f>C465/100*2</f>
        <v>2</v>
      </c>
      <c r="G465" s="11">
        <f>C465/100*55</f>
        <v>55</v>
      </c>
      <c r="H465" s="11">
        <f>C465/100*0</f>
        <v>0</v>
      </c>
      <c r="I465" s="70">
        <f>C465/100*1.3</f>
        <v>1.3</v>
      </c>
      <c r="J465" s="70">
        <f>C465/100*17.1</f>
        <v>17.100000000000001</v>
      </c>
      <c r="K465" s="70">
        <f>C465/100*18.4</f>
        <v>18.399999999999999</v>
      </c>
      <c r="L465" s="11">
        <f>C465/100*0</f>
        <v>0</v>
      </c>
      <c r="M465" s="3">
        <v>3</v>
      </c>
    </row>
    <row r="466" spans="2:13">
      <c r="B466" s="104" t="s">
        <v>945</v>
      </c>
      <c r="C466" s="4">
        <v>100</v>
      </c>
      <c r="D466" s="5">
        <f>C466/100*145</f>
        <v>145</v>
      </c>
      <c r="E466" s="11">
        <f>C466/100*10.2</f>
        <v>10.199999999999999</v>
      </c>
      <c r="F466" s="11">
        <f>C466/100*0.9</f>
        <v>0.9</v>
      </c>
      <c r="G466" s="11">
        <f>C466/100*23.8</f>
        <v>23.8</v>
      </c>
      <c r="H466" s="11">
        <f>C466/100*0</f>
        <v>0</v>
      </c>
      <c r="I466" s="70">
        <f>C466/100*0.8</f>
        <v>0.8</v>
      </c>
      <c r="J466" s="70">
        <f>C466/100*9.9</f>
        <v>9.9</v>
      </c>
      <c r="K466" s="70">
        <f>C466/100*10.7</f>
        <v>10.7</v>
      </c>
      <c r="L466" s="11">
        <f>C466/100*0</f>
        <v>0</v>
      </c>
      <c r="M466" s="3">
        <v>3</v>
      </c>
    </row>
    <row r="467" spans="2:13">
      <c r="B467" s="104" t="s">
        <v>886</v>
      </c>
      <c r="C467" s="4">
        <v>45</v>
      </c>
      <c r="D467" s="5">
        <f>C467/100*101/0.45</f>
        <v>101</v>
      </c>
      <c r="E467" s="11">
        <f>C467/100*4.1/0.45</f>
        <v>4.0999999999999996</v>
      </c>
      <c r="F467" s="11">
        <f>C467/100*3.9/0.45</f>
        <v>3.8999999999999995</v>
      </c>
      <c r="G467" s="11">
        <f>C467/100*12.4/0.45</f>
        <v>12.4</v>
      </c>
      <c r="H467" s="11">
        <f>C467/100*9/0.45</f>
        <v>9</v>
      </c>
      <c r="I467" s="70"/>
      <c r="J467" s="70"/>
      <c r="K467" s="70"/>
      <c r="L467" s="11">
        <f>C467/100*0.9507532/0.45</f>
        <v>0.95075319999999997</v>
      </c>
      <c r="M467" s="3">
        <v>3</v>
      </c>
    </row>
    <row r="468" spans="2:13">
      <c r="B468" s="81" t="s">
        <v>885</v>
      </c>
      <c r="C468" s="4">
        <v>100</v>
      </c>
      <c r="D468" s="5">
        <f>C468/100*139</f>
        <v>139</v>
      </c>
      <c r="E468" s="11">
        <f>C468/100*12.5</f>
        <v>12.5</v>
      </c>
      <c r="F468" s="11">
        <f>C468/100*3.7</f>
        <v>3.7</v>
      </c>
      <c r="G468" s="11">
        <f>C468/100*13.9</f>
        <v>13.9</v>
      </c>
      <c r="H468" s="11">
        <f>C468/100*20</f>
        <v>20</v>
      </c>
      <c r="I468" s="70"/>
      <c r="J468" s="70"/>
      <c r="K468" s="70"/>
      <c r="L468" s="70">
        <f>C468/100*1.9</f>
        <v>1.9</v>
      </c>
      <c r="M468" s="3">
        <v>3</v>
      </c>
    </row>
    <row r="469" spans="2:13">
      <c r="B469" s="81" t="s">
        <v>884</v>
      </c>
      <c r="C469" s="4">
        <v>100</v>
      </c>
      <c r="D469" s="5">
        <f>C469/100*210</f>
        <v>210</v>
      </c>
      <c r="E469" s="11">
        <f>C469/100*9.6</f>
        <v>9.6</v>
      </c>
      <c r="F469" s="11">
        <f>C469/100*9.5</f>
        <v>9.5</v>
      </c>
      <c r="G469" s="11">
        <f>C469/100*21.6</f>
        <v>21.6</v>
      </c>
      <c r="H469" s="11">
        <f>C469/100*20</f>
        <v>20</v>
      </c>
      <c r="I469" s="70"/>
      <c r="J469" s="70"/>
      <c r="K469" s="70"/>
      <c r="L469" s="70">
        <f>C469/100*2.1455501</f>
        <v>2.1455500999999999</v>
      </c>
      <c r="M469" s="3">
        <v>3</v>
      </c>
    </row>
    <row r="470" spans="2:13">
      <c r="B470" s="104" t="s">
        <v>306</v>
      </c>
      <c r="C470" s="4">
        <v>26</v>
      </c>
      <c r="D470" s="5">
        <f>C470/100*33/0.26</f>
        <v>33</v>
      </c>
      <c r="E470" s="11">
        <f>C470/100*2.6/0.26</f>
        <v>2.6</v>
      </c>
      <c r="F470" s="11">
        <f>C470/100*0.8/0.26</f>
        <v>0.8</v>
      </c>
      <c r="G470" s="11">
        <f>C470/100*3.9/0.26</f>
        <v>3.9</v>
      </c>
      <c r="H470" s="11">
        <f>C470/100*5.2/0.26</f>
        <v>5.2</v>
      </c>
      <c r="I470" s="70"/>
      <c r="J470" s="70"/>
      <c r="K470" s="70"/>
      <c r="L470" s="11">
        <f>C470/100*0.5948563/0.26</f>
        <v>0.5948563</v>
      </c>
      <c r="M470" s="3">
        <v>3</v>
      </c>
    </row>
    <row r="471" spans="2:13">
      <c r="B471" s="104" t="s">
        <v>307</v>
      </c>
      <c r="C471" s="4">
        <v>250</v>
      </c>
      <c r="D471" s="5">
        <f>C471/100*476/2.5</f>
        <v>476</v>
      </c>
      <c r="E471" s="11">
        <f>C471/100*26.3/2.5</f>
        <v>26.3</v>
      </c>
      <c r="F471" s="11">
        <f>C471/100*15.5/2.5</f>
        <v>15.5</v>
      </c>
      <c r="G471" s="11">
        <f>C471/100*57.8/2.5</f>
        <v>57.8</v>
      </c>
      <c r="H471" s="11">
        <f>C471/100*50/2.5</f>
        <v>50</v>
      </c>
      <c r="I471" s="70"/>
      <c r="J471" s="70"/>
      <c r="K471" s="70"/>
      <c r="L471" s="11">
        <f>C471/100*5.3384541/2.5</f>
        <v>5.3384540999999999</v>
      </c>
      <c r="M471" s="3">
        <v>3</v>
      </c>
    </row>
    <row r="472" spans="2:13">
      <c r="B472" s="81" t="s">
        <v>1095</v>
      </c>
      <c r="C472" s="4">
        <v>43</v>
      </c>
      <c r="D472" s="5">
        <f>C472/100*97/0.43</f>
        <v>97</v>
      </c>
      <c r="E472" s="11">
        <f>C472/100*3.9/0.43</f>
        <v>3.9000000000000004</v>
      </c>
      <c r="F472" s="11">
        <f>C472/100*3.7/0.43</f>
        <v>3.7</v>
      </c>
      <c r="G472" s="11">
        <f>C472/100*11.9/0.43</f>
        <v>11.9</v>
      </c>
      <c r="H472" s="11">
        <f>C472/100*8.6/0.43</f>
        <v>8.6</v>
      </c>
      <c r="I472" s="70"/>
      <c r="J472" s="70"/>
      <c r="K472" s="70">
        <f>C472/100*0.2/0.43</f>
        <v>0.2</v>
      </c>
      <c r="L472" s="11">
        <f>C472/100*0.0216/1.43</f>
        <v>6.4951048951048963E-3</v>
      </c>
      <c r="M472" s="3">
        <v>3</v>
      </c>
    </row>
    <row r="473" spans="2:13">
      <c r="B473" s="81" t="s">
        <v>308</v>
      </c>
      <c r="C473" s="4">
        <v>100</v>
      </c>
      <c r="D473" s="5">
        <f>C473/100*132</f>
        <v>132</v>
      </c>
      <c r="E473" s="11">
        <f>C473/100*1.2</f>
        <v>1.2</v>
      </c>
      <c r="F473" s="11">
        <f>C473/100*0.2</f>
        <v>0.2</v>
      </c>
      <c r="G473" s="11">
        <f>C473/100*31.5</f>
        <v>31.5</v>
      </c>
      <c r="H473" s="11">
        <f t="shared" ref="H473:H489" si="22">C473/100*0</f>
        <v>0</v>
      </c>
      <c r="I473" s="70">
        <f>C473/100*0.5</f>
        <v>0.5</v>
      </c>
      <c r="J473" s="70">
        <f>C473/100*1.8</f>
        <v>1.8</v>
      </c>
      <c r="K473" s="70">
        <f>C473/100*2.3</f>
        <v>2.2999999999999998</v>
      </c>
      <c r="L473" s="70">
        <f>C473/100*0</f>
        <v>0</v>
      </c>
      <c r="M473" s="3">
        <v>1</v>
      </c>
    </row>
    <row r="474" spans="2:13">
      <c r="B474" s="81" t="s">
        <v>309</v>
      </c>
      <c r="C474" s="4">
        <v>100</v>
      </c>
      <c r="D474" s="5">
        <f>C474/100*131</f>
        <v>131</v>
      </c>
      <c r="E474" s="11">
        <f>C474/100*1.2</f>
        <v>1.2</v>
      </c>
      <c r="F474" s="11">
        <f>C474/100*0.2</f>
        <v>0.2</v>
      </c>
      <c r="G474" s="11">
        <f>C474/100*31.2</f>
        <v>31.2</v>
      </c>
      <c r="H474" s="11">
        <f t="shared" si="22"/>
        <v>0</v>
      </c>
      <c r="I474" s="70">
        <f>C474/100*1</f>
        <v>1</v>
      </c>
      <c r="J474" s="70">
        <f>C474/100*2.8</f>
        <v>2.8</v>
      </c>
      <c r="K474" s="70">
        <f>C474/100*3.8</f>
        <v>3.8</v>
      </c>
      <c r="L474" s="70">
        <f>C474/100*0</f>
        <v>0</v>
      </c>
      <c r="M474" s="3">
        <v>1</v>
      </c>
    </row>
    <row r="475" spans="2:13">
      <c r="B475" s="104" t="s">
        <v>310</v>
      </c>
      <c r="C475" s="4">
        <v>100</v>
      </c>
      <c r="D475" s="5">
        <f>C475/100*303</f>
        <v>303</v>
      </c>
      <c r="E475" s="11">
        <f>C475/100*3.1</f>
        <v>3.1</v>
      </c>
      <c r="F475" s="11">
        <f>C475/100*0.6</f>
        <v>0.6</v>
      </c>
      <c r="G475" s="11">
        <f>C475/100*71.9</f>
        <v>71.900000000000006</v>
      </c>
      <c r="H475" s="11">
        <f t="shared" si="22"/>
        <v>0</v>
      </c>
      <c r="I475" s="70">
        <f>C475/100*2.4</f>
        <v>2.4</v>
      </c>
      <c r="J475" s="70">
        <f>C475/100*3.5</f>
        <v>3.5</v>
      </c>
      <c r="K475" s="70">
        <f>C475/100*5.9</f>
        <v>5.9</v>
      </c>
      <c r="L475" s="11">
        <f>C475/100*0</f>
        <v>0</v>
      </c>
      <c r="M475" s="3">
        <v>1</v>
      </c>
    </row>
    <row r="476" spans="2:13">
      <c r="B476" s="81" t="s">
        <v>311</v>
      </c>
      <c r="C476" s="4">
        <v>100</v>
      </c>
      <c r="D476" s="5">
        <f>C476/100*163</f>
        <v>163</v>
      </c>
      <c r="E476" s="11">
        <f>C476/100*1.4</f>
        <v>1.4</v>
      </c>
      <c r="F476" s="11">
        <f>C476/100*0.2</f>
        <v>0.2</v>
      </c>
      <c r="G476" s="11">
        <f>C476/100*39</f>
        <v>39</v>
      </c>
      <c r="H476" s="11">
        <f t="shared" si="22"/>
        <v>0</v>
      </c>
      <c r="I476" s="70">
        <f>C476/100*1.1</f>
        <v>1.1000000000000001</v>
      </c>
      <c r="J476" s="70">
        <f>C476/100*2.4</f>
        <v>2.4</v>
      </c>
      <c r="K476" s="70">
        <f>C476/100*3.5</f>
        <v>3.5</v>
      </c>
      <c r="L476" s="70">
        <f>C476/100*0</f>
        <v>0</v>
      </c>
      <c r="M476" s="3">
        <v>1</v>
      </c>
    </row>
    <row r="477" spans="2:13">
      <c r="B477" s="104" t="s">
        <v>312</v>
      </c>
      <c r="C477" s="4">
        <v>100</v>
      </c>
      <c r="D477" s="5">
        <f>C477/100*170</f>
        <v>170</v>
      </c>
      <c r="E477" s="11">
        <f>C477/100*1.6</f>
        <v>1.6</v>
      </c>
      <c r="F477" s="11">
        <f>C477/100*0</f>
        <v>0</v>
      </c>
      <c r="G477" s="11">
        <f>C477/100*42.2</f>
        <v>42.2</v>
      </c>
      <c r="H477" s="11">
        <f t="shared" si="22"/>
        <v>0</v>
      </c>
      <c r="I477" s="70"/>
      <c r="J477" s="70"/>
      <c r="K477" s="70">
        <f>C477/100*2.5</f>
        <v>2.5</v>
      </c>
      <c r="L477" s="11">
        <f>C477/100*0.6</f>
        <v>0.6</v>
      </c>
      <c r="M477" s="3">
        <v>1</v>
      </c>
    </row>
    <row r="478" spans="2:13">
      <c r="B478" s="81" t="s">
        <v>1254</v>
      </c>
      <c r="C478" s="4">
        <v>100</v>
      </c>
      <c r="D478" s="5">
        <f>C478/100*460</f>
        <v>460</v>
      </c>
      <c r="E478" s="11">
        <f>C478/100*1.8</f>
        <v>1.8</v>
      </c>
      <c r="F478" s="11">
        <f>C478/100*18.7</f>
        <v>18.7</v>
      </c>
      <c r="G478" s="11">
        <f>C478/100*74.8</f>
        <v>74.8</v>
      </c>
      <c r="H478" s="11">
        <f t="shared" si="22"/>
        <v>0</v>
      </c>
      <c r="I478" s="70"/>
      <c r="J478" s="70"/>
      <c r="K478" s="70">
        <f>C478/100*7.35</f>
        <v>7.35</v>
      </c>
      <c r="L478" s="11">
        <f>C478/100*0.0460122</f>
        <v>4.6012200000000003E-2</v>
      </c>
      <c r="M478" s="19" t="s">
        <v>751</v>
      </c>
    </row>
    <row r="479" spans="2:13">
      <c r="B479" s="81" t="s">
        <v>313</v>
      </c>
      <c r="C479" s="4">
        <v>100</v>
      </c>
      <c r="D479" s="5">
        <f>C479/100*58</f>
        <v>58</v>
      </c>
      <c r="E479" s="11">
        <f>C479/100*1.5</f>
        <v>1.5</v>
      </c>
      <c r="F479" s="11">
        <f>C479/100*0.1</f>
        <v>0.1</v>
      </c>
      <c r="G479" s="11">
        <f>C479/100*13.1</f>
        <v>13.1</v>
      </c>
      <c r="H479" s="11">
        <f t="shared" si="22"/>
        <v>0</v>
      </c>
      <c r="I479" s="70">
        <f>C479/100*0.8</f>
        <v>0.8</v>
      </c>
      <c r="J479" s="70">
        <f>C479/100*1.5</f>
        <v>1.5</v>
      </c>
      <c r="K479" s="70">
        <f>C479/100*2.3</f>
        <v>2.2999999999999998</v>
      </c>
      <c r="L479" s="70">
        <f>C479/100*0</f>
        <v>0</v>
      </c>
      <c r="M479" s="3">
        <v>1</v>
      </c>
    </row>
    <row r="480" spans="2:13">
      <c r="B480" s="103" t="s">
        <v>314</v>
      </c>
      <c r="C480" s="4">
        <v>100</v>
      </c>
      <c r="D480" s="5">
        <f>C480/100*59</f>
        <v>59</v>
      </c>
      <c r="E480" s="11">
        <f>C480/100*1.5</f>
        <v>1.5</v>
      </c>
      <c r="F480" s="11">
        <f>C480/100*0.1</f>
        <v>0.1</v>
      </c>
      <c r="G480" s="11">
        <f>C480/100*13.4</f>
        <v>13.4</v>
      </c>
      <c r="H480" s="11">
        <f t="shared" si="22"/>
        <v>0</v>
      </c>
      <c r="I480" s="70">
        <f>C480/100*0.9</f>
        <v>0.9</v>
      </c>
      <c r="J480" s="70">
        <f>C480/100*1.5</f>
        <v>1.5</v>
      </c>
      <c r="K480" s="70">
        <f>C480/100*2.4</f>
        <v>2.4</v>
      </c>
      <c r="L480" s="70">
        <f>C480/100*0</f>
        <v>0</v>
      </c>
      <c r="M480" s="3">
        <v>1</v>
      </c>
    </row>
    <row r="481" spans="2:13">
      <c r="B481" s="104" t="s">
        <v>315</v>
      </c>
      <c r="C481" s="4">
        <v>100</v>
      </c>
      <c r="D481" s="5">
        <f>C481/100*384</f>
        <v>384</v>
      </c>
      <c r="E481" s="11">
        <f>C481/100*0</f>
        <v>0</v>
      </c>
      <c r="F481" s="11">
        <f>C481/100*0</f>
        <v>0</v>
      </c>
      <c r="G481" s="11">
        <f>C481/100*99.2</f>
        <v>99.2</v>
      </c>
      <c r="H481" s="11">
        <f t="shared" si="22"/>
        <v>0</v>
      </c>
      <c r="I481" s="70"/>
      <c r="J481" s="70"/>
      <c r="K481" s="70"/>
      <c r="L481" s="70"/>
      <c r="M481" s="19" t="s">
        <v>750</v>
      </c>
    </row>
    <row r="482" spans="2:13">
      <c r="B482" s="104" t="s">
        <v>316</v>
      </c>
      <c r="C482" s="4">
        <v>100</v>
      </c>
      <c r="D482" s="5">
        <f>C482/100*384</f>
        <v>384</v>
      </c>
      <c r="E482" s="11">
        <f>C482/100*0</f>
        <v>0</v>
      </c>
      <c r="F482" s="11">
        <f>C482/100*0</f>
        <v>0</v>
      </c>
      <c r="G482" s="11">
        <f>C482/100*99.2</f>
        <v>99.2</v>
      </c>
      <c r="H482" s="11">
        <f t="shared" si="22"/>
        <v>0</v>
      </c>
      <c r="I482" s="70"/>
      <c r="J482" s="70"/>
      <c r="K482" s="70"/>
      <c r="L482" s="11"/>
      <c r="M482" s="19" t="s">
        <v>750</v>
      </c>
    </row>
    <row r="483" spans="2:13">
      <c r="B483" s="104" t="s">
        <v>317</v>
      </c>
      <c r="C483" s="4">
        <v>8</v>
      </c>
      <c r="D483" s="5">
        <f>C483/100*32/0.08</f>
        <v>32</v>
      </c>
      <c r="E483" s="11">
        <f>C483/100*0/0.08</f>
        <v>0</v>
      </c>
      <c r="F483" s="11">
        <f>C483/100*0/0.08</f>
        <v>0</v>
      </c>
      <c r="G483" s="11">
        <f>C483/100*7.9/0.08</f>
        <v>7.9</v>
      </c>
      <c r="H483" s="11">
        <f t="shared" si="22"/>
        <v>0</v>
      </c>
      <c r="I483" s="70"/>
      <c r="J483" s="70"/>
      <c r="K483" s="70"/>
      <c r="L483" s="70"/>
      <c r="M483" s="19" t="s">
        <v>750</v>
      </c>
    </row>
    <row r="484" spans="2:13">
      <c r="B484" s="104" t="s">
        <v>318</v>
      </c>
      <c r="C484" s="4">
        <v>8</v>
      </c>
      <c r="D484" s="5">
        <f>C484/100*31.6/0.08</f>
        <v>31.6</v>
      </c>
      <c r="E484" s="11">
        <f>C484/100*0/0.08</f>
        <v>0</v>
      </c>
      <c r="F484" s="11">
        <f>C484/100*0/0.08</f>
        <v>0</v>
      </c>
      <c r="G484" s="11">
        <f>C484/100*7.9/0.08</f>
        <v>7.9</v>
      </c>
      <c r="H484" s="11">
        <f t="shared" si="22"/>
        <v>0</v>
      </c>
      <c r="I484" s="70"/>
      <c r="J484" s="70"/>
      <c r="K484" s="70"/>
      <c r="L484" s="70"/>
      <c r="M484" s="19" t="s">
        <v>750</v>
      </c>
    </row>
    <row r="485" spans="2:13">
      <c r="B485" s="81" t="s">
        <v>319</v>
      </c>
      <c r="C485" s="4">
        <v>100</v>
      </c>
      <c r="D485" s="5">
        <f>C485/100*387</f>
        <v>387</v>
      </c>
      <c r="E485" s="11">
        <f>C485/100*0</f>
        <v>0</v>
      </c>
      <c r="F485" s="11">
        <f>C485/100*0</f>
        <v>0</v>
      </c>
      <c r="G485" s="11">
        <f>C485/100*100</f>
        <v>100</v>
      </c>
      <c r="H485" s="11">
        <f t="shared" si="22"/>
        <v>0</v>
      </c>
      <c r="I485" s="70"/>
      <c r="J485" s="70"/>
      <c r="K485" s="70"/>
      <c r="L485" s="70"/>
      <c r="M485" s="19" t="s">
        <v>750</v>
      </c>
    </row>
    <row r="486" spans="2:13">
      <c r="B486" s="104" t="s">
        <v>320</v>
      </c>
      <c r="C486" s="4">
        <v>100</v>
      </c>
      <c r="D486" s="5">
        <f>C486/100*16</f>
        <v>16</v>
      </c>
      <c r="E486" s="11">
        <f>C486/100*1.2</f>
        <v>1.2</v>
      </c>
      <c r="F486" s="11">
        <f>C486/100*0.2</f>
        <v>0.2</v>
      </c>
      <c r="G486" s="11">
        <f>C486/100*3.2</f>
        <v>3.2</v>
      </c>
      <c r="H486" s="11">
        <f t="shared" si="22"/>
        <v>0</v>
      </c>
      <c r="I486" s="70">
        <f>C486/100*0.6</f>
        <v>0.6</v>
      </c>
      <c r="J486" s="70">
        <f>C486/100*1.4</f>
        <v>1.4</v>
      </c>
      <c r="K486" s="70">
        <f>C486/100*2</f>
        <v>2</v>
      </c>
      <c r="L486" s="11">
        <f>C486/100*0</f>
        <v>0</v>
      </c>
      <c r="M486" s="3">
        <v>6</v>
      </c>
    </row>
    <row r="487" spans="2:13">
      <c r="B487" s="104" t="s">
        <v>857</v>
      </c>
      <c r="C487" s="4">
        <v>100</v>
      </c>
      <c r="D487" s="5">
        <f>C487/100*335</f>
        <v>335</v>
      </c>
      <c r="E487" s="11">
        <f>C487/100*7.6</f>
        <v>7.6</v>
      </c>
      <c r="F487" s="11">
        <f>C487/100*1.1</f>
        <v>1.1000000000000001</v>
      </c>
      <c r="G487" s="11">
        <f>C487/100*73.6</f>
        <v>73.599999999999994</v>
      </c>
      <c r="H487" s="11">
        <f t="shared" si="22"/>
        <v>0</v>
      </c>
      <c r="I487" s="70">
        <f>C487/100*0.6</f>
        <v>0.6</v>
      </c>
      <c r="J487" s="70">
        <f>C487/100*1.8</f>
        <v>1.8</v>
      </c>
      <c r="K487" s="70">
        <f>C487/100*2.4</f>
        <v>2.4</v>
      </c>
      <c r="L487" s="11">
        <f>C487/100*4.5758178</f>
        <v>4.5758178000000003</v>
      </c>
      <c r="M487" s="3">
        <v>1</v>
      </c>
    </row>
    <row r="488" spans="2:13">
      <c r="B488" s="104" t="s">
        <v>321</v>
      </c>
      <c r="C488" s="4">
        <v>200</v>
      </c>
      <c r="D488" s="5">
        <f>C488/100*257/2</f>
        <v>257</v>
      </c>
      <c r="E488" s="11">
        <f>C488/100*5.8/2</f>
        <v>5.8</v>
      </c>
      <c r="F488" s="11">
        <f>C488/100*1.2/2</f>
        <v>1.2</v>
      </c>
      <c r="G488" s="11">
        <f>C488/100*55.8/2</f>
        <v>55.8</v>
      </c>
      <c r="H488" s="11">
        <f t="shared" si="22"/>
        <v>0</v>
      </c>
      <c r="I488" s="70"/>
      <c r="J488" s="70"/>
      <c r="K488" s="70"/>
      <c r="L488" s="11">
        <f>C488/100*0.7117938/2</f>
        <v>0.71179380000000003</v>
      </c>
      <c r="M488" s="3">
        <v>1</v>
      </c>
    </row>
    <row r="489" spans="2:13">
      <c r="B489" s="104" t="s">
        <v>322</v>
      </c>
      <c r="C489" s="4">
        <v>100</v>
      </c>
      <c r="D489" s="5">
        <f>C489/100*337</f>
        <v>337</v>
      </c>
      <c r="E489" s="11">
        <f>C489/100*8.9</f>
        <v>8.9</v>
      </c>
      <c r="F489" s="11">
        <f>C489/100*1.3</f>
        <v>1.3</v>
      </c>
      <c r="G489" s="11">
        <f>C489/100*72.4</f>
        <v>72.400000000000006</v>
      </c>
      <c r="H489" s="11">
        <f t="shared" si="22"/>
        <v>0</v>
      </c>
      <c r="I489" s="70">
        <f>C489/100*0.6</f>
        <v>0.6</v>
      </c>
      <c r="J489" s="70">
        <f>C489/100*1.8</f>
        <v>1.8</v>
      </c>
      <c r="K489" s="70">
        <f>C489/100*2.4</f>
        <v>2.4</v>
      </c>
      <c r="L489" s="11">
        <f>C489/100*4.3</f>
        <v>4.3</v>
      </c>
      <c r="M489" s="3">
        <v>1</v>
      </c>
    </row>
    <row r="490" spans="2:13">
      <c r="B490" s="104" t="s">
        <v>870</v>
      </c>
      <c r="C490" s="4">
        <v>100</v>
      </c>
      <c r="D490" s="5">
        <f>C490/100*326</f>
        <v>326</v>
      </c>
      <c r="E490" s="11">
        <f>C490/100*17.2</f>
        <v>17.2</v>
      </c>
      <c r="F490" s="11">
        <f>C490/100*26.8</f>
        <v>26.8</v>
      </c>
      <c r="G490" s="11">
        <f>C490/100*0.4</f>
        <v>0.4</v>
      </c>
      <c r="H490" s="11">
        <f>C490/100*68</f>
        <v>68</v>
      </c>
      <c r="I490" s="70"/>
      <c r="J490" s="70"/>
      <c r="K490" s="70"/>
      <c r="L490" s="11">
        <f>C490/100*0.2516699</f>
        <v>0.2516699</v>
      </c>
      <c r="M490" s="3">
        <v>3</v>
      </c>
    </row>
    <row r="491" spans="2:13">
      <c r="B491" s="104" t="s">
        <v>871</v>
      </c>
      <c r="C491" s="4">
        <v>100</v>
      </c>
      <c r="D491" s="5">
        <f>C491/100*348</f>
        <v>348</v>
      </c>
      <c r="E491" s="11">
        <f>C491/100*18.6</f>
        <v>18.600000000000001</v>
      </c>
      <c r="F491" s="11">
        <f>C491/100*28.5</f>
        <v>28.5</v>
      </c>
      <c r="G491" s="11">
        <f>C491/100*0.4</f>
        <v>0.4</v>
      </c>
      <c r="H491" s="11">
        <f>C491/100*78</f>
        <v>78</v>
      </c>
      <c r="I491" s="70"/>
      <c r="J491" s="70"/>
      <c r="K491" s="70"/>
      <c r="L491" s="11">
        <f>C491/100*0.2440456</f>
        <v>0.2440456</v>
      </c>
      <c r="M491" s="3">
        <v>3</v>
      </c>
    </row>
    <row r="492" spans="2:13">
      <c r="B492" s="104" t="s">
        <v>782</v>
      </c>
      <c r="C492" s="4">
        <v>100</v>
      </c>
      <c r="D492" s="5">
        <f>C492/100*348</f>
        <v>348</v>
      </c>
      <c r="E492" s="11">
        <f>C492/100*18.7</f>
        <v>18.7</v>
      </c>
      <c r="F492" s="11">
        <f>C492/100*28.5</f>
        <v>28.5</v>
      </c>
      <c r="G492" s="11">
        <f>C492/100*0.2</f>
        <v>0.2</v>
      </c>
      <c r="H492" s="11">
        <f>C492/100*65</f>
        <v>65</v>
      </c>
      <c r="I492" s="70"/>
      <c r="J492" s="70"/>
      <c r="K492" s="70"/>
      <c r="L492" s="11">
        <f>C492/100*1.7286422</f>
        <v>1.7286421999999999</v>
      </c>
      <c r="M492" s="3">
        <v>3</v>
      </c>
    </row>
    <row r="493" spans="2:13">
      <c r="B493" s="104" t="s">
        <v>323</v>
      </c>
      <c r="C493" s="4">
        <v>100</v>
      </c>
      <c r="D493" s="5">
        <f>C493/100*202</f>
        <v>202</v>
      </c>
      <c r="E493" s="11">
        <f>C493/100*20.7</f>
        <v>20.7</v>
      </c>
      <c r="F493" s="11">
        <f>C493/100*12.1</f>
        <v>12.1</v>
      </c>
      <c r="G493" s="11">
        <f>C493/100*0.3</f>
        <v>0.3</v>
      </c>
      <c r="H493" s="11">
        <f>C493/100*64</f>
        <v>64</v>
      </c>
      <c r="I493" s="70"/>
      <c r="J493" s="70"/>
      <c r="K493" s="70"/>
      <c r="L493" s="70">
        <f>C493/100*0.4</f>
        <v>0.4</v>
      </c>
      <c r="M493" s="3">
        <v>3</v>
      </c>
    </row>
    <row r="494" spans="2:13">
      <c r="B494" s="104" t="s">
        <v>869</v>
      </c>
      <c r="C494" s="4">
        <v>100</v>
      </c>
      <c r="D494" s="5">
        <f>C494/100*253</f>
        <v>253</v>
      </c>
      <c r="E494" s="11">
        <f>C494/100*23</f>
        <v>23</v>
      </c>
      <c r="F494" s="11">
        <f>C494/100*16.4</f>
        <v>16.399999999999999</v>
      </c>
      <c r="G494" s="11">
        <f>C494/100*0.4</f>
        <v>0.4</v>
      </c>
      <c r="H494" s="11">
        <f>C494/100*85</f>
        <v>85</v>
      </c>
      <c r="I494" s="70"/>
      <c r="J494" s="70"/>
      <c r="K494" s="70"/>
      <c r="L494" s="11">
        <f>C494/100*0.3050545</f>
        <v>0.30505450000000001</v>
      </c>
      <c r="M494" s="3">
        <v>3</v>
      </c>
    </row>
    <row r="495" spans="2:13">
      <c r="B495" s="104" t="s">
        <v>324</v>
      </c>
      <c r="C495" s="4">
        <v>100</v>
      </c>
      <c r="D495" s="5">
        <f>C495/100*271</f>
        <v>271</v>
      </c>
      <c r="E495" s="11">
        <f>C495/100*25.8</f>
        <v>25.8</v>
      </c>
      <c r="F495" s="11">
        <f>C495/100*17.1</f>
        <v>17.100000000000001</v>
      </c>
      <c r="G495" s="11">
        <f>C495/100*0.4</f>
        <v>0.4</v>
      </c>
      <c r="H495" s="11">
        <f>C495/100*85</f>
        <v>85</v>
      </c>
      <c r="I495" s="70"/>
      <c r="J495" s="70"/>
      <c r="K495" s="70"/>
      <c r="L495" s="70">
        <f>C495/100*0.4</f>
        <v>0.4</v>
      </c>
      <c r="M495" s="3">
        <v>3</v>
      </c>
    </row>
    <row r="496" spans="2:13">
      <c r="B496" s="104" t="s">
        <v>325</v>
      </c>
      <c r="C496" s="4">
        <v>190</v>
      </c>
      <c r="D496" s="5">
        <f>C496/100*219/1.9</f>
        <v>219</v>
      </c>
      <c r="E496" s="11">
        <f>C496/100*29.1/1.9</f>
        <v>29.1</v>
      </c>
      <c r="F496" s="11">
        <f>C496/100*11/1.9</f>
        <v>11</v>
      </c>
      <c r="G496" s="11">
        <f>C496/100*0.6/1.9</f>
        <v>0.6</v>
      </c>
      <c r="H496" s="11">
        <f>C496/100*161.5/1.9</f>
        <v>161.5</v>
      </c>
      <c r="I496" s="70"/>
      <c r="J496" s="70"/>
      <c r="K496" s="70"/>
      <c r="L496" s="70">
        <f>C496/100*2.2116452/1.9</f>
        <v>2.2116452</v>
      </c>
      <c r="M496" s="3">
        <v>3</v>
      </c>
    </row>
    <row r="497" spans="2:13">
      <c r="B497" s="107" t="s">
        <v>326</v>
      </c>
      <c r="C497" s="4">
        <v>100</v>
      </c>
      <c r="D497" s="5">
        <f>C497/100*204</f>
        <v>204</v>
      </c>
      <c r="E497" s="11">
        <f>C497/100*14.9</f>
        <v>14.9</v>
      </c>
      <c r="F497" s="11">
        <f>C497/100*14.7</f>
        <v>14.7</v>
      </c>
      <c r="G497" s="11">
        <f>C497/100*2.9</f>
        <v>2.9</v>
      </c>
      <c r="H497" s="11">
        <f>C497/100*85</f>
        <v>85</v>
      </c>
      <c r="I497" s="70"/>
      <c r="J497" s="70"/>
      <c r="K497" s="70"/>
      <c r="L497" s="11">
        <f>C497/100*0.8897423</f>
        <v>0.88974229999999999</v>
      </c>
      <c r="M497" s="3">
        <v>3</v>
      </c>
    </row>
    <row r="498" spans="2:13">
      <c r="B498" s="104" t="s">
        <v>867</v>
      </c>
      <c r="C498" s="4">
        <v>80</v>
      </c>
      <c r="D498" s="5">
        <f>C498/100*160/0.8</f>
        <v>160</v>
      </c>
      <c r="E498" s="11">
        <f>C498/100*12.3/0.8</f>
        <v>12.3</v>
      </c>
      <c r="F498" s="11">
        <f>C498/100*12.2/0.8</f>
        <v>12.2</v>
      </c>
      <c r="G498" s="11">
        <f>C498/100*0/0.8</f>
        <v>0</v>
      </c>
      <c r="H498" s="11">
        <f>C498/100*68/0.8</f>
        <v>68</v>
      </c>
      <c r="I498" s="70"/>
      <c r="J498" s="70"/>
      <c r="K498" s="70"/>
      <c r="L498" s="11">
        <f>C498/100*0.6609541/0.8</f>
        <v>0.66095409999999999</v>
      </c>
      <c r="M498" s="3">
        <v>3</v>
      </c>
    </row>
    <row r="499" spans="2:13">
      <c r="B499" s="104" t="s">
        <v>327</v>
      </c>
      <c r="C499" s="4">
        <v>190</v>
      </c>
      <c r="D499" s="5">
        <f>C499/100*219/1.9</f>
        <v>219</v>
      </c>
      <c r="E499" s="11">
        <f>C499/100*29.1/1.9</f>
        <v>29.1</v>
      </c>
      <c r="F499" s="11">
        <f>C499/100*11/1.9</f>
        <v>11</v>
      </c>
      <c r="G499" s="11">
        <f>C499/100*0.6/1.9</f>
        <v>0.6</v>
      </c>
      <c r="H499" s="11">
        <f>C499/100*161.5/1.9</f>
        <v>161.5</v>
      </c>
      <c r="I499" s="70"/>
      <c r="J499" s="70"/>
      <c r="K499" s="70"/>
      <c r="L499" s="11">
        <f>C499/100*2.2116452/1.9</f>
        <v>2.2116452</v>
      </c>
      <c r="M499" s="3">
        <v>3</v>
      </c>
    </row>
    <row r="500" spans="2:13">
      <c r="B500" s="108" t="s">
        <v>328</v>
      </c>
      <c r="C500" s="4">
        <v>80</v>
      </c>
      <c r="D500" s="5">
        <f>C500/100*150/0.8</f>
        <v>150</v>
      </c>
      <c r="E500" s="11">
        <f>C500/100*13.8/0.8</f>
        <v>13.8</v>
      </c>
      <c r="F500" s="11">
        <f>C500/100*8.5/0.8</f>
        <v>8.5</v>
      </c>
      <c r="G500" s="11">
        <f>C500/100*5.7/0.8</f>
        <v>5.7</v>
      </c>
      <c r="H500" s="11">
        <f>C500/100*66.4/0.8</f>
        <v>66.400000000000006</v>
      </c>
      <c r="I500" s="70"/>
      <c r="J500" s="70"/>
      <c r="K500" s="70"/>
      <c r="L500" s="11">
        <f>C500/100*0.7880575/0.8</f>
        <v>0.78805750000000008</v>
      </c>
      <c r="M500" s="3">
        <v>3</v>
      </c>
    </row>
    <row r="501" spans="2:13">
      <c r="B501" s="104" t="s">
        <v>329</v>
      </c>
      <c r="C501" s="4">
        <v>108</v>
      </c>
      <c r="D501" s="5">
        <f>C501/100*220/1.08</f>
        <v>220</v>
      </c>
      <c r="E501" s="11">
        <f>C501/100*12/1.08</f>
        <v>12</v>
      </c>
      <c r="F501" s="11">
        <f>C501/100*17/1.08</f>
        <v>17</v>
      </c>
      <c r="G501" s="11">
        <f>C501/100*4.7/1.08</f>
        <v>4.7</v>
      </c>
      <c r="H501" s="11">
        <f>C501/100*89.64/1.08</f>
        <v>89.64</v>
      </c>
      <c r="I501" s="70"/>
      <c r="J501" s="70"/>
      <c r="K501" s="70"/>
      <c r="L501" s="70"/>
      <c r="M501" s="3">
        <v>3</v>
      </c>
    </row>
    <row r="502" spans="2:13">
      <c r="B502" s="104" t="s">
        <v>330</v>
      </c>
      <c r="C502" s="4">
        <v>100</v>
      </c>
      <c r="D502" s="5">
        <f>C502/100*289</f>
        <v>289</v>
      </c>
      <c r="E502" s="11">
        <f>C502/100*12.4</f>
        <v>12.4</v>
      </c>
      <c r="F502" s="11">
        <f>C502/100*22.2</f>
        <v>22.2</v>
      </c>
      <c r="G502" s="11">
        <f>C502/100*9.8</f>
        <v>9.8000000000000007</v>
      </c>
      <c r="H502" s="11">
        <f>C502/100*83</f>
        <v>83</v>
      </c>
      <c r="I502" s="70"/>
      <c r="J502" s="70"/>
      <c r="K502" s="70"/>
      <c r="L502" s="70">
        <f>C502/100*1.8</f>
        <v>1.8</v>
      </c>
      <c r="M502" s="3">
        <v>3</v>
      </c>
    </row>
    <row r="503" spans="2:13">
      <c r="B503" s="104" t="s">
        <v>331</v>
      </c>
      <c r="C503" s="4">
        <v>100</v>
      </c>
      <c r="D503" s="5">
        <f>C503/100*23</f>
        <v>23</v>
      </c>
      <c r="E503" s="11">
        <f>C503/100*1.8</f>
        <v>1.8</v>
      </c>
      <c r="F503" s="11">
        <f>C503/100*0.1</f>
        <v>0.1</v>
      </c>
      <c r="G503" s="11">
        <f>C503/100*5.1</f>
        <v>5.0999999999999996</v>
      </c>
      <c r="H503" s="11">
        <f t="shared" ref="H503:H514" si="23">C503/100*0</f>
        <v>0</v>
      </c>
      <c r="I503" s="70">
        <f>C503/100*0.3</f>
        <v>0.3</v>
      </c>
      <c r="J503" s="70">
        <f>C503/100*2.1</f>
        <v>2.1</v>
      </c>
      <c r="K503" s="70">
        <f>C503/100*2.4</f>
        <v>2.4</v>
      </c>
      <c r="L503" s="70">
        <f>C503/100*0</f>
        <v>0</v>
      </c>
      <c r="M503" s="3">
        <v>6</v>
      </c>
    </row>
    <row r="504" spans="2:13">
      <c r="B504" s="104" t="s">
        <v>332</v>
      </c>
      <c r="C504" s="4">
        <v>100</v>
      </c>
      <c r="D504" s="5">
        <f>C504/100*26</f>
        <v>26</v>
      </c>
      <c r="E504" s="11">
        <f>C504/100*1.8</f>
        <v>1.8</v>
      </c>
      <c r="F504" s="11">
        <f>C504/100*0.2</f>
        <v>0.2</v>
      </c>
      <c r="G504" s="11">
        <f>C504/100*5.5</f>
        <v>5.5</v>
      </c>
      <c r="H504" s="11">
        <f t="shared" si="23"/>
        <v>0</v>
      </c>
      <c r="I504" s="70">
        <f>C504/100*0.6</f>
        <v>0.6</v>
      </c>
      <c r="J504" s="70">
        <f>C504/100*2</f>
        <v>2</v>
      </c>
      <c r="K504" s="70">
        <f>C504/100*2.6</f>
        <v>2.6</v>
      </c>
      <c r="L504" s="70">
        <f>C504/100*0</f>
        <v>0</v>
      </c>
      <c r="M504" s="3">
        <v>6</v>
      </c>
    </row>
    <row r="505" spans="2:13">
      <c r="B505" s="104" t="s">
        <v>333</v>
      </c>
      <c r="C505" s="4">
        <v>100</v>
      </c>
      <c r="D505" s="5">
        <f>C505/100*36</f>
        <v>36</v>
      </c>
      <c r="E505" s="11">
        <f>C505/100*3.1</f>
        <v>3.1</v>
      </c>
      <c r="F505" s="11">
        <f>C505/100*0.2</f>
        <v>0.2</v>
      </c>
      <c r="G505" s="11">
        <f>C505/100*7.5</f>
        <v>7.5</v>
      </c>
      <c r="H505" s="11">
        <f t="shared" si="23"/>
        <v>0</v>
      </c>
      <c r="I505" s="70">
        <f>C505/100*0.3</f>
        <v>0.3</v>
      </c>
      <c r="J505" s="70">
        <f>C505/100*2.7</f>
        <v>2.7</v>
      </c>
      <c r="K505" s="70">
        <f>C505/100*3</f>
        <v>3</v>
      </c>
      <c r="L505" s="70">
        <f>C505/100*0</f>
        <v>0</v>
      </c>
      <c r="M505" s="3">
        <v>6</v>
      </c>
    </row>
    <row r="506" spans="2:13">
      <c r="B506" s="104" t="s">
        <v>334</v>
      </c>
      <c r="C506" s="4">
        <v>100</v>
      </c>
      <c r="D506" s="5">
        <f>C506/100*279</f>
        <v>279</v>
      </c>
      <c r="E506" s="11">
        <f>C506/100*8.9</f>
        <v>8.9</v>
      </c>
      <c r="F506" s="11">
        <f>C506/100*1.5</f>
        <v>1.5</v>
      </c>
      <c r="G506" s="11">
        <f>C506/100*57.5</f>
        <v>57.5</v>
      </c>
      <c r="H506" s="11">
        <f t="shared" si="23"/>
        <v>0</v>
      </c>
      <c r="I506" s="70"/>
      <c r="J506" s="70"/>
      <c r="K506" s="70"/>
      <c r="L506" s="11">
        <f>C506/100*1.7</f>
        <v>1.7</v>
      </c>
      <c r="M506" s="19" t="s">
        <v>753</v>
      </c>
    </row>
    <row r="507" spans="2:13">
      <c r="B507" s="81" t="s">
        <v>335</v>
      </c>
      <c r="C507" s="4">
        <v>100</v>
      </c>
      <c r="D507" s="5">
        <f>C507/100*14</f>
        <v>14</v>
      </c>
      <c r="E507" s="11">
        <f>C507/100*1.7</f>
        <v>1.7</v>
      </c>
      <c r="F507" s="11">
        <f>C507/100*0.2</f>
        <v>0.2</v>
      </c>
      <c r="G507" s="11">
        <f>C507/100*2.2</f>
        <v>2.2000000000000002</v>
      </c>
      <c r="H507" s="11">
        <f t="shared" si="23"/>
        <v>0</v>
      </c>
      <c r="I507" s="70">
        <f>C507/100*0.2</f>
        <v>0.2</v>
      </c>
      <c r="J507" s="70">
        <f>C507/100*1.6</f>
        <v>1.6</v>
      </c>
      <c r="K507" s="70">
        <f>C507/100*1.8</f>
        <v>1.8</v>
      </c>
      <c r="L507" s="70">
        <f>C507/100*0</f>
        <v>0</v>
      </c>
      <c r="M507" s="3">
        <v>6</v>
      </c>
    </row>
    <row r="508" spans="2:13">
      <c r="B508" s="104" t="s">
        <v>336</v>
      </c>
      <c r="C508" s="4">
        <v>100</v>
      </c>
      <c r="D508" s="5">
        <f>C508/100*921</f>
        <v>921</v>
      </c>
      <c r="E508" s="11">
        <f>C508/100*0</f>
        <v>0</v>
      </c>
      <c r="F508" s="11">
        <f>C508/100*100</f>
        <v>100</v>
      </c>
      <c r="G508" s="11">
        <f>C508/100*0</f>
        <v>0</v>
      </c>
      <c r="H508" s="11">
        <f t="shared" si="23"/>
        <v>0</v>
      </c>
      <c r="I508" s="70"/>
      <c r="J508" s="70"/>
      <c r="K508" s="70"/>
      <c r="L508" s="70"/>
      <c r="M508" s="3">
        <v>5</v>
      </c>
    </row>
    <row r="509" spans="2:13">
      <c r="B509" s="104" t="s">
        <v>337</v>
      </c>
      <c r="C509" s="4">
        <v>306</v>
      </c>
      <c r="D509" s="5">
        <f>C509/100*275/3.06</f>
        <v>275</v>
      </c>
      <c r="E509" s="11">
        <f>C509/100*12.24/3.06</f>
        <v>12.24</v>
      </c>
      <c r="F509" s="11">
        <f>C509/100*1.44/3.06</f>
        <v>1.44</v>
      </c>
      <c r="G509" s="11">
        <f>C509/100*53.7/3.06</f>
        <v>53.7</v>
      </c>
      <c r="H509" s="11">
        <f t="shared" si="23"/>
        <v>0</v>
      </c>
      <c r="I509" s="70"/>
      <c r="J509" s="70"/>
      <c r="K509" s="70">
        <f>C509/100*3.46/3.06</f>
        <v>3.46</v>
      </c>
      <c r="L509" s="11">
        <f>C509/100*3.52/3.06</f>
        <v>3.52</v>
      </c>
      <c r="M509" s="19" t="s">
        <v>753</v>
      </c>
    </row>
    <row r="510" spans="2:13">
      <c r="B510" s="104" t="s">
        <v>338</v>
      </c>
      <c r="C510" s="4">
        <v>100</v>
      </c>
      <c r="D510" s="5">
        <f>C510/100*43</f>
        <v>43</v>
      </c>
      <c r="E510" s="11">
        <f>C510/100*2.2</f>
        <v>2.2000000000000002</v>
      </c>
      <c r="F510" s="11">
        <f>C510/100*0</f>
        <v>0</v>
      </c>
      <c r="G510" s="11">
        <f>C510/100*8.3</f>
        <v>8.3000000000000007</v>
      </c>
      <c r="H510" s="11">
        <f t="shared" si="23"/>
        <v>0</v>
      </c>
      <c r="I510" s="70"/>
      <c r="J510" s="70"/>
      <c r="K510" s="70">
        <f>C510/100*0.5</f>
        <v>0.5</v>
      </c>
      <c r="L510" s="70">
        <f>C510/100*3.0505452</f>
        <v>3.0505452000000002</v>
      </c>
      <c r="M510" s="19" t="s">
        <v>750</v>
      </c>
    </row>
    <row r="511" spans="2:13">
      <c r="B511" s="104" t="s">
        <v>339</v>
      </c>
      <c r="C511" s="4">
        <v>300</v>
      </c>
      <c r="D511" s="5">
        <f>C511/100*129/3</f>
        <v>129</v>
      </c>
      <c r="E511" s="11">
        <f>C511/100*6.6/3</f>
        <v>6.5999999999999988</v>
      </c>
      <c r="F511" s="11">
        <f>C511/100*0/3</f>
        <v>0</v>
      </c>
      <c r="G511" s="11">
        <f>C511/100*25.7/3</f>
        <v>25.7</v>
      </c>
      <c r="H511" s="11">
        <f t="shared" si="23"/>
        <v>0</v>
      </c>
      <c r="I511" s="70"/>
      <c r="J511" s="70"/>
      <c r="K511" s="70"/>
      <c r="L511" s="11">
        <f>C511/100*16.4/3</f>
        <v>16.399999999999999</v>
      </c>
      <c r="M511" s="19" t="s">
        <v>750</v>
      </c>
    </row>
    <row r="512" spans="2:13">
      <c r="B512" s="104" t="s">
        <v>340</v>
      </c>
      <c r="C512" s="4">
        <v>100</v>
      </c>
      <c r="D512" s="5">
        <f>C512/100*44</f>
        <v>44</v>
      </c>
      <c r="E512" s="11">
        <f>C512/100*2.2</f>
        <v>2.2000000000000002</v>
      </c>
      <c r="F512" s="11">
        <f>C512/100*0</f>
        <v>0</v>
      </c>
      <c r="G512" s="11">
        <f>C512/100*8.7</f>
        <v>8.6999999999999993</v>
      </c>
      <c r="H512" s="11">
        <f t="shared" si="23"/>
        <v>0</v>
      </c>
      <c r="I512" s="70"/>
      <c r="J512" s="70"/>
      <c r="K512" s="70"/>
      <c r="L512" s="11">
        <f>C512/100*3.3047573</f>
        <v>3.3047572999999999</v>
      </c>
      <c r="M512" s="19" t="s">
        <v>750</v>
      </c>
    </row>
    <row r="513" spans="2:13">
      <c r="B513" s="81" t="s">
        <v>1269</v>
      </c>
      <c r="C513" s="4">
        <v>100</v>
      </c>
      <c r="D513" s="5">
        <f>C513/100*49</f>
        <v>49</v>
      </c>
      <c r="E513" s="11">
        <f>C513/100*2</f>
        <v>2</v>
      </c>
      <c r="F513" s="11">
        <f>C513/100*0</f>
        <v>0</v>
      </c>
      <c r="G513" s="11">
        <f>C513/100*9.4</f>
        <v>9.4</v>
      </c>
      <c r="H513" s="11">
        <f t="shared" si="23"/>
        <v>0</v>
      </c>
      <c r="I513" s="70"/>
      <c r="J513" s="70"/>
      <c r="K513" s="70"/>
      <c r="L513" s="11">
        <f>C513/100*3.3047573</f>
        <v>3.3047572999999999</v>
      </c>
      <c r="M513" s="19" t="s">
        <v>750</v>
      </c>
    </row>
    <row r="514" spans="2:13">
      <c r="B514" s="104" t="s">
        <v>341</v>
      </c>
      <c r="C514" s="4">
        <v>100</v>
      </c>
      <c r="D514" s="5">
        <f>C514/100*16</f>
        <v>16</v>
      </c>
      <c r="E514" s="11">
        <f>C514/100*1.2</f>
        <v>1.2</v>
      </c>
      <c r="F514" s="11">
        <f>C514/100*0.2</f>
        <v>0.2</v>
      </c>
      <c r="G514" s="11">
        <f>C514/100*3.2</f>
        <v>3.2</v>
      </c>
      <c r="H514" s="11">
        <f t="shared" si="23"/>
        <v>0</v>
      </c>
      <c r="I514" s="70">
        <f>C514/100*0.6</f>
        <v>0.6</v>
      </c>
      <c r="J514" s="70">
        <f>C514/100*1.4</f>
        <v>1.4</v>
      </c>
      <c r="K514" s="70">
        <f>C514/100*2</f>
        <v>2</v>
      </c>
      <c r="L514" s="70">
        <f>C514/100*0</f>
        <v>0</v>
      </c>
      <c r="M514" s="3">
        <v>6</v>
      </c>
    </row>
    <row r="515" spans="2:13">
      <c r="B515" s="104" t="s">
        <v>841</v>
      </c>
      <c r="C515" s="4">
        <v>150</v>
      </c>
      <c r="D515" s="5">
        <f>C515/100*323/1.5</f>
        <v>323</v>
      </c>
      <c r="E515" s="11">
        <f>C515/100*21/1.5</f>
        <v>21</v>
      </c>
      <c r="F515" s="11">
        <f>C515/100*19.5/1.5</f>
        <v>19.5</v>
      </c>
      <c r="G515" s="11">
        <f>C515/100*15.9/1.5</f>
        <v>15.9</v>
      </c>
      <c r="H515" s="11">
        <f>C515/100*147/1.5</f>
        <v>147</v>
      </c>
      <c r="I515" s="70"/>
      <c r="J515" s="70"/>
      <c r="K515" s="70"/>
      <c r="L515" s="11">
        <f>C515/100*1.8303271/1.5</f>
        <v>1.8303271000000001</v>
      </c>
      <c r="M515" s="3">
        <v>3</v>
      </c>
    </row>
    <row r="516" spans="2:13">
      <c r="B516" s="104" t="s">
        <v>342</v>
      </c>
      <c r="C516" s="4">
        <v>100</v>
      </c>
      <c r="D516" s="5">
        <f>C516/100*310</f>
        <v>310</v>
      </c>
      <c r="E516" s="11">
        <f>C516/100*18.5</f>
        <v>18.5</v>
      </c>
      <c r="F516" s="11">
        <f>C516/100*24.6</f>
        <v>24.6</v>
      </c>
      <c r="G516" s="11">
        <f>C516/100*0.1</f>
        <v>0.1</v>
      </c>
      <c r="H516" s="11">
        <f>C516/100*66</f>
        <v>66</v>
      </c>
      <c r="I516" s="70"/>
      <c r="J516" s="70"/>
      <c r="K516" s="70"/>
      <c r="L516" s="70">
        <f>C516/100*0.3</f>
        <v>0.3</v>
      </c>
      <c r="M516" s="3">
        <v>3</v>
      </c>
    </row>
    <row r="517" spans="2:13">
      <c r="B517" s="104" t="s">
        <v>343</v>
      </c>
      <c r="C517" s="4">
        <v>100</v>
      </c>
      <c r="D517" s="5">
        <f>C517/100*299</f>
        <v>299</v>
      </c>
      <c r="E517" s="11">
        <f>C517/100*24.9</f>
        <v>24.9</v>
      </c>
      <c r="F517" s="11">
        <f>C517/100*20.6</f>
        <v>20.6</v>
      </c>
      <c r="G517" s="11">
        <f>C517/100*0.1</f>
        <v>0.1</v>
      </c>
      <c r="H517" s="11">
        <f>C517/100*79</f>
        <v>79</v>
      </c>
      <c r="I517" s="70"/>
      <c r="J517" s="70"/>
      <c r="K517" s="70"/>
      <c r="L517" s="70">
        <f>C517/100*0.2</f>
        <v>0.2</v>
      </c>
      <c r="M517" s="3">
        <v>3</v>
      </c>
    </row>
    <row r="518" spans="2:13">
      <c r="B518" s="104" t="s">
        <v>344</v>
      </c>
      <c r="C518" s="4">
        <v>100</v>
      </c>
      <c r="D518" s="5">
        <f>C518/100*245</f>
        <v>245</v>
      </c>
      <c r="E518" s="11">
        <f>C518/100*16.2</f>
        <v>16.2</v>
      </c>
      <c r="F518" s="11">
        <f>C518/100*16</f>
        <v>16</v>
      </c>
      <c r="G518" s="11">
        <f>C518/100*9.1</f>
        <v>9.1</v>
      </c>
      <c r="H518" s="11">
        <f>C518/100*84</f>
        <v>84</v>
      </c>
      <c r="I518" s="70"/>
      <c r="J518" s="70"/>
      <c r="K518" s="70"/>
      <c r="L518" s="70">
        <f>C518/100*1.7286422</f>
        <v>1.7286421999999999</v>
      </c>
      <c r="M518" s="3">
        <v>3</v>
      </c>
    </row>
    <row r="519" spans="2:13">
      <c r="B519" s="104" t="s">
        <v>972</v>
      </c>
      <c r="C519" s="4">
        <v>150</v>
      </c>
      <c r="D519" s="5">
        <f>C519/100*321/1.5</f>
        <v>321</v>
      </c>
      <c r="E519" s="11">
        <f>C519/100*19.4/1.5</f>
        <v>19.399999999999999</v>
      </c>
      <c r="F519" s="11">
        <f>C519/100*27/1.5</f>
        <v>27</v>
      </c>
      <c r="G519" s="11">
        <f>C519/100*0.2/1.5</f>
        <v>0.20000000000000004</v>
      </c>
      <c r="H519" s="11">
        <f>C519/100*68.3/1.5</f>
        <v>68.3</v>
      </c>
      <c r="I519" s="70"/>
      <c r="J519" s="70"/>
      <c r="K519" s="70"/>
      <c r="L519" s="11">
        <f>C519/100*1.3981665/1.5</f>
        <v>1.3981665000000001</v>
      </c>
      <c r="M519" s="3">
        <v>3</v>
      </c>
    </row>
    <row r="520" spans="2:13">
      <c r="B520" s="104" t="s">
        <v>745</v>
      </c>
      <c r="C520" s="4">
        <v>150</v>
      </c>
      <c r="D520" s="5">
        <f>C520/100*351/1.5</f>
        <v>351</v>
      </c>
      <c r="E520" s="11">
        <f>C520/100*20.7/1.5</f>
        <v>20.7</v>
      </c>
      <c r="F520" s="11">
        <f>C520/100*23/1.5</f>
        <v>23</v>
      </c>
      <c r="G520" s="11">
        <f>C520/100*15.4/1.5</f>
        <v>15.4</v>
      </c>
      <c r="H520" s="11">
        <f>C520/100*159.7/1.5</f>
        <v>159.69999999999999</v>
      </c>
      <c r="I520" s="70"/>
      <c r="J520" s="70"/>
      <c r="K520" s="70"/>
      <c r="L520" s="11">
        <f>C520/100*1.5862835/1.5</f>
        <v>1.5862834999999997</v>
      </c>
      <c r="M520" s="3"/>
    </row>
    <row r="521" spans="2:13">
      <c r="B521" s="104" t="s">
        <v>345</v>
      </c>
      <c r="C521" s="4">
        <v>100</v>
      </c>
      <c r="D521" s="5">
        <f>C521/100*182</f>
        <v>182</v>
      </c>
      <c r="E521" s="11">
        <f>C521/100*19.3</f>
        <v>19.3</v>
      </c>
      <c r="F521" s="11">
        <f>C521/100*3.7</f>
        <v>3.7</v>
      </c>
      <c r="G521" s="11">
        <f>C521/100*63.4</f>
        <v>63.4</v>
      </c>
      <c r="H521" s="11">
        <f t="shared" ref="H521:H527" si="24">C521/100*0</f>
        <v>0</v>
      </c>
      <c r="I521" s="70">
        <f>C521/100*3</f>
        <v>3</v>
      </c>
      <c r="J521" s="70">
        <f>C521/100*38</f>
        <v>38</v>
      </c>
      <c r="K521" s="70">
        <f>C521/100*41</f>
        <v>41</v>
      </c>
      <c r="L521" s="70">
        <f>C521/100*0</f>
        <v>0</v>
      </c>
      <c r="M521" s="3">
        <v>6</v>
      </c>
    </row>
    <row r="522" spans="2:13">
      <c r="B522" s="104" t="s">
        <v>346</v>
      </c>
      <c r="C522" s="4">
        <v>100</v>
      </c>
      <c r="D522" s="5">
        <f>C522/100*42</f>
        <v>42</v>
      </c>
      <c r="E522" s="11">
        <f>C522/100*3.2</f>
        <v>3.2</v>
      </c>
      <c r="F522" s="11">
        <f>C522/100*0.5</f>
        <v>0.5</v>
      </c>
      <c r="G522" s="11">
        <f>C522/100*16.7</f>
        <v>16.7</v>
      </c>
      <c r="H522" s="11">
        <f t="shared" si="24"/>
        <v>0</v>
      </c>
      <c r="I522" s="70">
        <f>C522/100*0.3</f>
        <v>0.3</v>
      </c>
      <c r="J522" s="70">
        <f>C522/100*7.2</f>
        <v>7.2</v>
      </c>
      <c r="K522" s="70">
        <f>C522/100*7.5</f>
        <v>7.5</v>
      </c>
      <c r="L522" s="70">
        <f>C522/100</f>
        <v>1</v>
      </c>
      <c r="M522" s="3">
        <v>6</v>
      </c>
    </row>
    <row r="523" spans="2:13">
      <c r="B523" s="104" t="s">
        <v>347</v>
      </c>
      <c r="C523" s="4">
        <v>100</v>
      </c>
      <c r="D523" s="5">
        <f>C523/100*18</f>
        <v>18</v>
      </c>
      <c r="E523" s="11">
        <f>C523/100*3</f>
        <v>3</v>
      </c>
      <c r="F523" s="11">
        <f>C523/100*0.4</f>
        <v>0.4</v>
      </c>
      <c r="G523" s="11">
        <f>C523/100*4.9</f>
        <v>4.9000000000000004</v>
      </c>
      <c r="H523" s="11">
        <f t="shared" si="24"/>
        <v>0</v>
      </c>
      <c r="I523" s="70">
        <f>C523/100*0.5</f>
        <v>0.5</v>
      </c>
      <c r="J523" s="70">
        <f>C523/100*3</f>
        <v>3</v>
      </c>
      <c r="K523" s="70">
        <f>C523/100*3.5</f>
        <v>3.5</v>
      </c>
      <c r="L523" s="70">
        <f>C523/100*0</f>
        <v>0</v>
      </c>
      <c r="M523" s="3">
        <v>6</v>
      </c>
    </row>
    <row r="524" spans="2:13">
      <c r="B524" s="104" t="s">
        <v>348</v>
      </c>
      <c r="C524" s="4">
        <v>100</v>
      </c>
      <c r="D524" s="5">
        <f>C524/100*20</f>
        <v>20</v>
      </c>
      <c r="E524" s="11">
        <f>C524/100*2.4</f>
        <v>2.4</v>
      </c>
      <c r="F524" s="11">
        <f>C524/100*0.3</f>
        <v>0.3</v>
      </c>
      <c r="G524" s="11">
        <f>C524/100*7.1</f>
        <v>7.1</v>
      </c>
      <c r="H524" s="11">
        <f t="shared" si="24"/>
        <v>0</v>
      </c>
      <c r="I524" s="70">
        <f>C524/100*0.4</f>
        <v>0.4</v>
      </c>
      <c r="J524" s="70">
        <f>C524/100*4.3</f>
        <v>4.3</v>
      </c>
      <c r="K524" s="70">
        <f>C524/100*4.7</f>
        <v>4.7</v>
      </c>
      <c r="L524" s="70">
        <f>C524/100*0</f>
        <v>0</v>
      </c>
      <c r="M524" s="3">
        <v>6</v>
      </c>
    </row>
    <row r="525" spans="2:13">
      <c r="B525" s="104" t="s">
        <v>1121</v>
      </c>
      <c r="C525" s="4">
        <v>100</v>
      </c>
      <c r="D525" s="5">
        <f>C525/100*25.2</f>
        <v>25.2</v>
      </c>
      <c r="E525" s="11">
        <f>C525/100*4.2</f>
        <v>4.2</v>
      </c>
      <c r="F525" s="11">
        <f>C525/100*0.56</f>
        <v>0.56000000000000005</v>
      </c>
      <c r="G525" s="11">
        <f>C525/100*6.86</f>
        <v>6.86</v>
      </c>
      <c r="H525" s="11">
        <f t="shared" si="24"/>
        <v>0</v>
      </c>
      <c r="I525" s="70">
        <f>C525/100*0.7</f>
        <v>0.7</v>
      </c>
      <c r="J525" s="70">
        <f>C525/100*4.2</f>
        <v>4.2</v>
      </c>
      <c r="K525" s="70">
        <f>C525/100*4.9</f>
        <v>4.9000000000000004</v>
      </c>
      <c r="L525" s="11">
        <f>C525/100*0</f>
        <v>0</v>
      </c>
      <c r="M525" s="3">
        <v>6</v>
      </c>
    </row>
    <row r="526" spans="2:13">
      <c r="B526" s="104" t="s">
        <v>349</v>
      </c>
      <c r="C526" s="4">
        <v>70</v>
      </c>
      <c r="D526" s="5">
        <f>C526/100*210/0.7</f>
        <v>210</v>
      </c>
      <c r="E526" s="11">
        <f>C526/100*13.2/0.7</f>
        <v>13.2</v>
      </c>
      <c r="F526" s="11">
        <f>C526/100*16.9/0.7</f>
        <v>16.899999999999999</v>
      </c>
      <c r="G526" s="11">
        <f>C526/100*0.4/0.7</f>
        <v>0.39999999999999997</v>
      </c>
      <c r="H526" s="11">
        <f t="shared" si="24"/>
        <v>0</v>
      </c>
      <c r="I526" s="70"/>
      <c r="J526" s="70"/>
      <c r="K526" s="70"/>
      <c r="L526" s="11">
        <f>C526/100*0.5338454/0.7</f>
        <v>0.53384540000000003</v>
      </c>
      <c r="M526" s="19" t="s">
        <v>751</v>
      </c>
    </row>
    <row r="527" spans="2:13">
      <c r="B527" s="104" t="s">
        <v>350</v>
      </c>
      <c r="C527" s="4">
        <v>60</v>
      </c>
      <c r="D527" s="5">
        <f>C527/100*129/0.6</f>
        <v>129</v>
      </c>
      <c r="E527" s="11">
        <f>C527/100*12.8/0.6</f>
        <v>12.8</v>
      </c>
      <c r="F527" s="11">
        <f>C527/100*0.7/0.6</f>
        <v>0.7</v>
      </c>
      <c r="G527" s="11">
        <f>C527/100*12.5/0.6</f>
        <v>12.5</v>
      </c>
      <c r="H527" s="11">
        <f t="shared" si="24"/>
        <v>0</v>
      </c>
      <c r="I527" s="70"/>
      <c r="J527" s="70"/>
      <c r="K527" s="70">
        <f>C527/100*10.7/0.6</f>
        <v>10.7</v>
      </c>
      <c r="L527" s="11">
        <f>C527/100*12.20218/0.6</f>
        <v>12.20218</v>
      </c>
      <c r="M527" s="3">
        <v>3</v>
      </c>
    </row>
    <row r="528" spans="2:13">
      <c r="B528" s="104" t="s">
        <v>351</v>
      </c>
      <c r="C528" s="4">
        <v>100</v>
      </c>
      <c r="D528" s="5">
        <f>C528/100*291</f>
        <v>291</v>
      </c>
      <c r="E528" s="11">
        <f>C528/100*26.2</f>
        <v>26.2</v>
      </c>
      <c r="F528" s="11">
        <f>C528/100*19.1</f>
        <v>19.100000000000001</v>
      </c>
      <c r="G528" s="11">
        <f>C528/100*0.1</f>
        <v>0.1</v>
      </c>
      <c r="H528" s="11">
        <f>C528/100*59</f>
        <v>59</v>
      </c>
      <c r="I528" s="70"/>
      <c r="J528" s="70"/>
      <c r="K528" s="70"/>
      <c r="L528" s="11">
        <f>C528/100*1.8</f>
        <v>1.8</v>
      </c>
      <c r="M528" s="3">
        <v>3</v>
      </c>
    </row>
    <row r="529" spans="2:13">
      <c r="B529" s="81" t="s">
        <v>1181</v>
      </c>
      <c r="C529" s="4">
        <v>100</v>
      </c>
      <c r="D529" s="5">
        <f>C529/100*27</f>
        <v>27</v>
      </c>
      <c r="E529" s="11">
        <f>C529/100*1.9</f>
        <v>1.9</v>
      </c>
      <c r="F529" s="11">
        <f>C529/100*0.3</f>
        <v>0.3</v>
      </c>
      <c r="G529" s="11">
        <f>C529/100*5.7</f>
        <v>5.7</v>
      </c>
      <c r="H529" s="11">
        <f>C529/100*0</f>
        <v>0</v>
      </c>
      <c r="I529" s="70">
        <f>C529/100*0.3</f>
        <v>0.3</v>
      </c>
      <c r="J529" s="70">
        <f>C529/100*3.3</f>
        <v>3.3</v>
      </c>
      <c r="K529" s="70">
        <f>C529/100*3.6</f>
        <v>3.6</v>
      </c>
      <c r="L529" s="11">
        <f>C529/100*0</f>
        <v>0</v>
      </c>
      <c r="M529" s="3">
        <v>6</v>
      </c>
    </row>
    <row r="530" spans="2:13">
      <c r="B530" s="104" t="s">
        <v>352</v>
      </c>
      <c r="C530" s="4">
        <v>100</v>
      </c>
      <c r="D530" s="5">
        <f>C530/100*51</f>
        <v>51</v>
      </c>
      <c r="E530" s="11">
        <f>C530/100*5.6</f>
        <v>5.6</v>
      </c>
      <c r="F530" s="11">
        <f>C530/100*1</f>
        <v>1</v>
      </c>
      <c r="G530" s="11">
        <f>C530/100*4.3</f>
        <v>4.3</v>
      </c>
      <c r="H530" s="11">
        <f>C530/100*62</f>
        <v>62</v>
      </c>
      <c r="I530" s="70"/>
      <c r="J530" s="70"/>
      <c r="K530" s="70"/>
      <c r="L530" s="11">
        <f>C530/100*0.2</f>
        <v>0.2</v>
      </c>
      <c r="M530" s="3">
        <v>3</v>
      </c>
    </row>
    <row r="531" spans="2:13">
      <c r="B531" s="1" t="s">
        <v>1151</v>
      </c>
      <c r="C531" s="4">
        <v>100</v>
      </c>
      <c r="D531" s="5">
        <f>C531/100*166</f>
        <v>166</v>
      </c>
      <c r="E531" s="11">
        <f>C531/100*21</f>
        <v>21</v>
      </c>
      <c r="F531" s="11">
        <f>C531/100*8.1</f>
        <v>8.1</v>
      </c>
      <c r="G531" s="11">
        <f>C531/100*0.2</f>
        <v>0.2</v>
      </c>
      <c r="H531" s="11">
        <f>C531/100*230</f>
        <v>230</v>
      </c>
      <c r="I531" s="70"/>
      <c r="J531" s="70"/>
      <c r="K531" s="70"/>
      <c r="L531" s="70">
        <f>C531/100*1.2</f>
        <v>1.2</v>
      </c>
      <c r="M531" s="3">
        <v>3</v>
      </c>
    </row>
    <row r="532" spans="2:13">
      <c r="B532" s="104" t="s">
        <v>353</v>
      </c>
      <c r="C532" s="4">
        <v>100</v>
      </c>
      <c r="D532" s="5">
        <f>C532/100*166</f>
        <v>166</v>
      </c>
      <c r="E532" s="11">
        <f>C532/100*21</f>
        <v>21</v>
      </c>
      <c r="F532" s="11">
        <f>C532/100*8.1</f>
        <v>8.1</v>
      </c>
      <c r="G532" s="11">
        <f>C532/100*0.2</f>
        <v>0.2</v>
      </c>
      <c r="H532" s="11">
        <f>C532/100*230</f>
        <v>230</v>
      </c>
      <c r="I532" s="70"/>
      <c r="J532" s="70"/>
      <c r="K532" s="70"/>
      <c r="L532" s="70">
        <f>C532/100*1.2</f>
        <v>1.2</v>
      </c>
      <c r="M532" s="3">
        <v>3</v>
      </c>
    </row>
    <row r="533" spans="2:13">
      <c r="B533" s="104" t="s">
        <v>354</v>
      </c>
      <c r="C533" s="4">
        <v>100</v>
      </c>
      <c r="D533" s="5">
        <f>C533/100*177</f>
        <v>177</v>
      </c>
      <c r="E533" s="11">
        <f>C533/100*24.3</f>
        <v>24.3</v>
      </c>
      <c r="F533" s="11">
        <f>C533/100*7.8</f>
        <v>7.8</v>
      </c>
      <c r="G533" s="11">
        <f>C533/100*0.2</f>
        <v>0.2</v>
      </c>
      <c r="H533" s="11">
        <f>C533/100*300</f>
        <v>300</v>
      </c>
      <c r="I533" s="70"/>
      <c r="J533" s="70"/>
      <c r="K533" s="70"/>
      <c r="L533" s="70">
        <f>C533/100*1.6</f>
        <v>1.6</v>
      </c>
      <c r="M533" s="3">
        <v>3</v>
      </c>
    </row>
    <row r="534" spans="2:13">
      <c r="B534" s="104" t="s">
        <v>355</v>
      </c>
      <c r="C534" s="4">
        <v>100</v>
      </c>
      <c r="D534" s="5">
        <f>C534/100*37</f>
        <v>37</v>
      </c>
      <c r="E534" s="11">
        <f>C534/100*3.9</f>
        <v>3.9</v>
      </c>
      <c r="F534" s="11">
        <f>C534/100*0.1</f>
        <v>0.1</v>
      </c>
      <c r="G534" s="11">
        <f>C534/100*7.5</f>
        <v>7.5</v>
      </c>
      <c r="H534" s="11">
        <f>C534/100*0</f>
        <v>0</v>
      </c>
      <c r="I534" s="70">
        <f>C534/100*0.8</f>
        <v>0.8</v>
      </c>
      <c r="J534" s="70">
        <f>C534/100*6.5</f>
        <v>6.5</v>
      </c>
      <c r="K534" s="70">
        <f>C534/100*7.3</f>
        <v>7.3</v>
      </c>
      <c r="L534" s="70">
        <f>C534/100*0</f>
        <v>0</v>
      </c>
      <c r="M534" s="3">
        <v>6</v>
      </c>
    </row>
    <row r="535" spans="2:13">
      <c r="B535" s="104" t="s">
        <v>356</v>
      </c>
      <c r="C535" s="4">
        <v>100</v>
      </c>
      <c r="D535" s="5">
        <f>C535/100*19</f>
        <v>19</v>
      </c>
      <c r="E535" s="11">
        <f>C535/100*1</f>
        <v>1</v>
      </c>
      <c r="F535" s="11">
        <f>C535/100*0.5</f>
        <v>0.5</v>
      </c>
      <c r="G535" s="11">
        <f>C535/100*3.6</f>
        <v>3.6</v>
      </c>
      <c r="H535" s="11">
        <f>C535/100*0</f>
        <v>0</v>
      </c>
      <c r="I535" s="70">
        <f>C535/100*0.3</f>
        <v>0.3</v>
      </c>
      <c r="J535" s="70">
        <f>C535/100*3.2</f>
        <v>3.2</v>
      </c>
      <c r="K535" s="70">
        <f>C535/100*3.5</f>
        <v>3.5</v>
      </c>
      <c r="L535" s="70">
        <f>C535/100*0.9</f>
        <v>0.9</v>
      </c>
      <c r="M535" s="3">
        <v>6</v>
      </c>
    </row>
    <row r="536" spans="2:13">
      <c r="B536" s="104" t="s">
        <v>357</v>
      </c>
      <c r="C536" s="4">
        <v>100</v>
      </c>
      <c r="D536" s="5">
        <f>C536/100*364</f>
        <v>364</v>
      </c>
      <c r="E536" s="11">
        <f>C536/100*3.6</f>
        <v>3.6</v>
      </c>
      <c r="F536" s="11">
        <f>C536/100*3.5</f>
        <v>3.5</v>
      </c>
      <c r="G536" s="11">
        <f>C536/100*79.8</f>
        <v>79.8</v>
      </c>
      <c r="H536" s="11">
        <f>C536/100*0</f>
        <v>0</v>
      </c>
      <c r="I536" s="70"/>
      <c r="J536" s="70"/>
      <c r="K536" s="70"/>
      <c r="L536" s="70">
        <f>C536/100*0.1</f>
        <v>0.1</v>
      </c>
      <c r="M536" s="19" t="s">
        <v>750</v>
      </c>
    </row>
    <row r="537" spans="2:13">
      <c r="B537" s="81" t="s">
        <v>1125</v>
      </c>
      <c r="C537" s="4">
        <v>100</v>
      </c>
      <c r="D537" s="5">
        <f>C537/100*290</f>
        <v>290</v>
      </c>
      <c r="E537" s="11">
        <f>C537/100*6.77</f>
        <v>6.77</v>
      </c>
      <c r="F537" s="11">
        <f>C537/100*13.53</f>
        <v>13.53</v>
      </c>
      <c r="G537" s="11">
        <f>C537/100*33.19</f>
        <v>33.19</v>
      </c>
      <c r="H537" s="11">
        <f>C537/100*0</f>
        <v>0</v>
      </c>
      <c r="I537" s="70"/>
      <c r="J537" s="70"/>
      <c r="K537" s="70">
        <f>C537/100*0.5</f>
        <v>0.5</v>
      </c>
      <c r="L537" s="11">
        <f>C537/100*0.3485756</f>
        <v>0.34857559999999999</v>
      </c>
      <c r="M537" s="19" t="s">
        <v>751</v>
      </c>
    </row>
    <row r="538" spans="2:13">
      <c r="B538" s="104" t="s">
        <v>358</v>
      </c>
      <c r="C538" s="4">
        <v>16.5</v>
      </c>
      <c r="D538" s="5">
        <f>C538/100*88/0.165</f>
        <v>88</v>
      </c>
      <c r="E538" s="11">
        <f>C538/100*8.3/0.165</f>
        <v>8.3000000000000007</v>
      </c>
      <c r="F538" s="11">
        <f>C538/100*5.8/0.165</f>
        <v>5.8</v>
      </c>
      <c r="G538" s="11">
        <f>C538/100*0.6/0.165</f>
        <v>0.6</v>
      </c>
      <c r="H538" s="11">
        <f>C538/100*0</f>
        <v>0</v>
      </c>
      <c r="I538" s="70"/>
      <c r="J538" s="70"/>
      <c r="K538" s="70"/>
      <c r="L538" s="70"/>
      <c r="M538" s="3">
        <v>3</v>
      </c>
    </row>
    <row r="539" spans="2:13">
      <c r="B539" s="81" t="s">
        <v>359</v>
      </c>
      <c r="C539" s="4">
        <v>100</v>
      </c>
      <c r="D539" s="5">
        <f>C539/100*339</f>
        <v>339</v>
      </c>
      <c r="E539" s="11">
        <f>C539/100*18.6</f>
        <v>18.600000000000001</v>
      </c>
      <c r="F539" s="11">
        <f>C539/100*26.9</f>
        <v>26.9</v>
      </c>
      <c r="G539" s="11">
        <f>C539/100*1.7</f>
        <v>1.7</v>
      </c>
      <c r="H539" s="11">
        <f>C539/100*65</f>
        <v>65</v>
      </c>
      <c r="I539" s="70"/>
      <c r="J539" s="70"/>
      <c r="K539" s="70"/>
      <c r="L539" s="70">
        <f>C539/100*1.6269574</f>
        <v>1.6269574</v>
      </c>
      <c r="M539" s="3">
        <v>3</v>
      </c>
    </row>
    <row r="540" spans="2:13">
      <c r="B540" s="103" t="s">
        <v>360</v>
      </c>
      <c r="C540" s="4">
        <v>100</v>
      </c>
      <c r="D540" s="5">
        <f>C540/100*76</f>
        <v>76</v>
      </c>
      <c r="E540" s="11">
        <f>C540/100*1.6</f>
        <v>1.6</v>
      </c>
      <c r="F540" s="11">
        <f>C540/100*0.1</f>
        <v>0.1</v>
      </c>
      <c r="G540" s="11">
        <f>C540/100*17.6</f>
        <v>17.600000000000001</v>
      </c>
      <c r="H540" s="11">
        <f t="shared" ref="H540:H569" si="25">C540/100*0</f>
        <v>0</v>
      </c>
      <c r="I540" s="70">
        <f>C540/100*0.6</f>
        <v>0.6</v>
      </c>
      <c r="J540" s="70">
        <f>C540/100*0.7</f>
        <v>0.7</v>
      </c>
      <c r="K540" s="70">
        <f>C540/100*1.3</f>
        <v>1.3</v>
      </c>
      <c r="L540" s="70">
        <f>C540/100*0</f>
        <v>0</v>
      </c>
      <c r="M540" s="3">
        <v>1</v>
      </c>
    </row>
    <row r="541" spans="2:13">
      <c r="B541" s="103" t="s">
        <v>361</v>
      </c>
      <c r="C541" s="4">
        <v>100</v>
      </c>
      <c r="D541" s="5">
        <f>C541/100*73</f>
        <v>73</v>
      </c>
      <c r="E541" s="11">
        <f>C541/100*1.5</f>
        <v>1.5</v>
      </c>
      <c r="F541" s="11">
        <f>C541/100*0.1</f>
        <v>0.1</v>
      </c>
      <c r="G541" s="11">
        <f>C541/100*16.8</f>
        <v>16.8</v>
      </c>
      <c r="H541" s="11">
        <f t="shared" si="25"/>
        <v>0</v>
      </c>
      <c r="I541" s="70">
        <f>C541/100*0.5</f>
        <v>0.5</v>
      </c>
      <c r="J541" s="70">
        <f>C541/100*1.1</f>
        <v>1.1000000000000001</v>
      </c>
      <c r="K541" s="70">
        <f>C541/100*1.6</f>
        <v>1.6</v>
      </c>
      <c r="L541" s="70">
        <f>C541/100*0</f>
        <v>0</v>
      </c>
      <c r="M541" s="3">
        <v>1</v>
      </c>
    </row>
    <row r="542" spans="2:13">
      <c r="B542" s="81" t="s">
        <v>1127</v>
      </c>
      <c r="C542" s="4">
        <v>100</v>
      </c>
      <c r="D542" s="5">
        <f>C542/100*385</f>
        <v>385</v>
      </c>
      <c r="E542" s="11">
        <f>C542/100*4.4</f>
        <v>4.4000000000000004</v>
      </c>
      <c r="F542" s="11">
        <f>C542/100*0.9</f>
        <v>0.9</v>
      </c>
      <c r="G542" s="11">
        <f>C542/100*90.7</f>
        <v>90.7</v>
      </c>
      <c r="H542" s="11">
        <f t="shared" si="25"/>
        <v>0</v>
      </c>
      <c r="I542" s="70"/>
      <c r="J542" s="70"/>
      <c r="K542" s="70">
        <f>C542/100*1.7</f>
        <v>1.7</v>
      </c>
      <c r="L542" s="11">
        <f>C542/100*0.5694351</f>
        <v>0.56943509999999997</v>
      </c>
      <c r="M542" s="19" t="s">
        <v>751</v>
      </c>
    </row>
    <row r="543" spans="2:13">
      <c r="B543" s="81" t="s">
        <v>1090</v>
      </c>
      <c r="C543" s="4">
        <v>72</v>
      </c>
      <c r="D543" s="5">
        <f>C543/100*305/0.72</f>
        <v>305</v>
      </c>
      <c r="E543" s="11">
        <f>C543/100*3.1/0.72</f>
        <v>3.0999999999999996</v>
      </c>
      <c r="F543" s="11">
        <f>C543/100*5.5/0.72</f>
        <v>5.5</v>
      </c>
      <c r="G543" s="11">
        <f>C543/100*60.7/0.72</f>
        <v>60.7</v>
      </c>
      <c r="H543" s="11">
        <f t="shared" si="25"/>
        <v>0</v>
      </c>
      <c r="I543" s="70"/>
      <c r="J543" s="70"/>
      <c r="K543" s="70"/>
      <c r="L543" s="11">
        <f>C543/100*0.4880872/0.72</f>
        <v>0.4880872</v>
      </c>
      <c r="M543" s="19" t="s">
        <v>751</v>
      </c>
    </row>
    <row r="544" spans="2:13">
      <c r="B544" s="104" t="s">
        <v>362</v>
      </c>
      <c r="C544" s="4">
        <v>100</v>
      </c>
      <c r="D544" s="5">
        <f>C544/100*393</f>
        <v>393</v>
      </c>
      <c r="E544" s="11">
        <f>C544/100*4.3</f>
        <v>4.3</v>
      </c>
      <c r="F544" s="11">
        <f>C544/100*1.5</f>
        <v>1.5</v>
      </c>
      <c r="G544" s="11">
        <f>C544/100*91.2</f>
        <v>91.2</v>
      </c>
      <c r="H544" s="11">
        <f t="shared" si="25"/>
        <v>0</v>
      </c>
      <c r="I544" s="70"/>
      <c r="J544" s="70"/>
      <c r="K544" s="70">
        <f>C544/100*1.25</f>
        <v>1.25</v>
      </c>
      <c r="L544" s="11">
        <f>C544/100*0.5923141</f>
        <v>0.59231409999999995</v>
      </c>
      <c r="M544" s="3">
        <v>1</v>
      </c>
    </row>
    <row r="545" spans="2:13">
      <c r="B545" s="104" t="s">
        <v>363</v>
      </c>
      <c r="C545" s="4">
        <v>100</v>
      </c>
      <c r="D545" s="5">
        <f>C545/100*245</f>
        <v>245</v>
      </c>
      <c r="E545" s="11">
        <f>C545/100*8.4</f>
        <v>8.4</v>
      </c>
      <c r="F545" s="11">
        <f>C545/100*13.6</f>
        <v>13.6</v>
      </c>
      <c r="G545" s="11">
        <f>C545/100*22.3</f>
        <v>22.3</v>
      </c>
      <c r="H545" s="11">
        <f t="shared" si="25"/>
        <v>0</v>
      </c>
      <c r="I545" s="70">
        <f>C545/100*0.1</f>
        <v>0.1</v>
      </c>
      <c r="J545" s="70">
        <f>C545/100*0.1</f>
        <v>0.1</v>
      </c>
      <c r="K545" s="70">
        <f>C545/100*0.2</f>
        <v>0.2</v>
      </c>
      <c r="L545" s="11">
        <f>C545/100*0.3</f>
        <v>0.3</v>
      </c>
      <c r="M545" s="19" t="s">
        <v>751</v>
      </c>
    </row>
    <row r="546" spans="2:13">
      <c r="B546" s="104" t="s">
        <v>364</v>
      </c>
      <c r="C546" s="4">
        <v>100</v>
      </c>
      <c r="D546" s="5">
        <f>C546/100*215</f>
        <v>215</v>
      </c>
      <c r="E546" s="11">
        <f>C546/100*9.3</f>
        <v>9.3000000000000007</v>
      </c>
      <c r="F546" s="11">
        <f>C546/100*11.1</f>
        <v>11.1</v>
      </c>
      <c r="G546" s="11">
        <f>C546/100*19.3</f>
        <v>19.3</v>
      </c>
      <c r="H546" s="11">
        <f t="shared" si="25"/>
        <v>0</v>
      </c>
      <c r="I546" s="70"/>
      <c r="J546" s="70"/>
      <c r="K546" s="70"/>
      <c r="L546" s="11">
        <f>C546/100*1.3</f>
        <v>1.3</v>
      </c>
      <c r="M546" s="19" t="s">
        <v>753</v>
      </c>
    </row>
    <row r="547" spans="2:13">
      <c r="B547" s="81" t="s">
        <v>365</v>
      </c>
      <c r="C547" s="4">
        <v>100</v>
      </c>
      <c r="D547" s="5">
        <f>C547/100*30</f>
        <v>30</v>
      </c>
      <c r="E547" s="11">
        <f>C547/100*0.9</f>
        <v>0.9</v>
      </c>
      <c r="F547" s="11">
        <f>C547/100*0.3</f>
        <v>0.3</v>
      </c>
      <c r="G547" s="11">
        <f>C547/100*6.6</f>
        <v>6.6</v>
      </c>
      <c r="H547" s="11">
        <f t="shared" si="25"/>
        <v>0</v>
      </c>
      <c r="I547" s="70">
        <f>C547/100*0.2</f>
        <v>0.2</v>
      </c>
      <c r="J547" s="70">
        <f>C547/100*1.9</f>
        <v>1.9</v>
      </c>
      <c r="K547" s="70">
        <f>C547/100*2.1</f>
        <v>2.1</v>
      </c>
      <c r="L547" s="70">
        <f>C547/100*0</f>
        <v>0</v>
      </c>
      <c r="M547" s="3">
        <v>6</v>
      </c>
    </row>
    <row r="548" spans="2:13">
      <c r="B548" s="104" t="s">
        <v>794</v>
      </c>
      <c r="C548" s="4">
        <v>100</v>
      </c>
      <c r="D548" s="5">
        <f>C548/100*383</f>
        <v>383</v>
      </c>
      <c r="E548" s="11">
        <f>C548/100*5.4</f>
        <v>5.4</v>
      </c>
      <c r="F548" s="11">
        <f>C548/100*0.5</f>
        <v>0.5</v>
      </c>
      <c r="G548" s="11">
        <f>C548/100*89.1</f>
        <v>89.1</v>
      </c>
      <c r="H548" s="11">
        <f t="shared" si="25"/>
        <v>0</v>
      </c>
      <c r="I548" s="70"/>
      <c r="J548" s="70"/>
      <c r="K548" s="70"/>
      <c r="L548" s="11">
        <f>C548/100*0.6609514</f>
        <v>0.66095139999999997</v>
      </c>
      <c r="M548" s="19" t="s">
        <v>751</v>
      </c>
    </row>
    <row r="549" spans="2:13">
      <c r="B549" s="104" t="s">
        <v>828</v>
      </c>
      <c r="C549" s="4">
        <v>100</v>
      </c>
      <c r="D549" s="5">
        <f>C549/100*362</f>
        <v>362</v>
      </c>
      <c r="E549" s="11">
        <f>C549/100*6.2</f>
        <v>6.2</v>
      </c>
      <c r="F549" s="11">
        <f>C549/100*0.9</f>
        <v>0.9</v>
      </c>
      <c r="G549" s="11">
        <f>C549/100*78.5</f>
        <v>78.5</v>
      </c>
      <c r="H549" s="11">
        <f t="shared" si="25"/>
        <v>0</v>
      </c>
      <c r="I549" s="70">
        <f>C549/100*0</f>
        <v>0</v>
      </c>
      <c r="J549" s="70">
        <f>C549/100*0.6</f>
        <v>0.6</v>
      </c>
      <c r="K549" s="70">
        <f>C549/100*0.6</f>
        <v>0.6</v>
      </c>
      <c r="L549" s="11">
        <f>C549/100*0</f>
        <v>0</v>
      </c>
      <c r="M549" s="3">
        <v>1</v>
      </c>
    </row>
    <row r="550" spans="2:13">
      <c r="B550" s="103" t="s">
        <v>366</v>
      </c>
      <c r="C550" s="4">
        <v>100</v>
      </c>
      <c r="D550" s="5">
        <f>C550/100*384</f>
        <v>384</v>
      </c>
      <c r="E550" s="11">
        <f>C550/100*0</f>
        <v>0</v>
      </c>
      <c r="F550" s="11">
        <f>C550/100*0</f>
        <v>0</v>
      </c>
      <c r="G550" s="11">
        <f>C550/100*99.2</f>
        <v>99.2</v>
      </c>
      <c r="H550" s="11">
        <f t="shared" si="25"/>
        <v>0</v>
      </c>
      <c r="I550" s="70"/>
      <c r="J550" s="70"/>
      <c r="K550" s="70">
        <f>C550/100*0</f>
        <v>0</v>
      </c>
      <c r="L550" s="70">
        <f>C550/100*0.0025421</f>
        <v>2.5420999999999998E-3</v>
      </c>
      <c r="M550" s="19" t="s">
        <v>750</v>
      </c>
    </row>
    <row r="551" spans="2:13">
      <c r="B551" s="103" t="s">
        <v>367</v>
      </c>
      <c r="C551" s="4">
        <v>100</v>
      </c>
      <c r="D551" s="5">
        <f>C551/100*71</f>
        <v>71</v>
      </c>
      <c r="E551" s="11">
        <f>C551/100*7.1</f>
        <v>7.1</v>
      </c>
      <c r="F551" s="11">
        <f>C551/100*0</f>
        <v>0</v>
      </c>
      <c r="G551" s="11">
        <f>C551/100*10.5</f>
        <v>10.5</v>
      </c>
      <c r="H551" s="11">
        <f t="shared" si="25"/>
        <v>0</v>
      </c>
      <c r="I551" s="70"/>
      <c r="J551" s="70"/>
      <c r="K551" s="70"/>
      <c r="L551" s="70">
        <f>C551/100*13.2</f>
        <v>13.2</v>
      </c>
      <c r="M551" s="19" t="s">
        <v>750</v>
      </c>
    </row>
    <row r="552" spans="2:13">
      <c r="B552" s="104" t="s">
        <v>368</v>
      </c>
      <c r="C552" s="4">
        <v>15</v>
      </c>
      <c r="D552" s="5">
        <f>C552/100*15/0.15</f>
        <v>15</v>
      </c>
      <c r="E552" s="11">
        <f>C552/100*1.6/0.15</f>
        <v>1.6</v>
      </c>
      <c r="F552" s="11">
        <f>C552/100*0/0.15</f>
        <v>0</v>
      </c>
      <c r="G552" s="11">
        <f>C552/100*1.9/0.15</f>
        <v>1.9</v>
      </c>
      <c r="H552" s="11">
        <f t="shared" si="25"/>
        <v>0</v>
      </c>
      <c r="I552" s="70"/>
      <c r="J552" s="70"/>
      <c r="K552" s="70"/>
      <c r="L552" s="11">
        <f>C552/100*2.4023043/0.15</f>
        <v>2.4023042999999999</v>
      </c>
      <c r="M552" s="19" t="s">
        <v>750</v>
      </c>
    </row>
    <row r="553" spans="2:13">
      <c r="B553" s="104" t="s">
        <v>883</v>
      </c>
      <c r="C553" s="4">
        <v>15</v>
      </c>
      <c r="D553" s="5">
        <f>C553/100*14/0.15</f>
        <v>14.000000000000002</v>
      </c>
      <c r="E553" s="11">
        <f>C553/100*1.1/0.15</f>
        <v>1.1000000000000001</v>
      </c>
      <c r="F553" s="11">
        <f>C553/100*0/0.15</f>
        <v>0</v>
      </c>
      <c r="G553" s="11">
        <f>C553/100*2.1/0.15</f>
        <v>2.1</v>
      </c>
      <c r="H553" s="11">
        <f t="shared" si="25"/>
        <v>0</v>
      </c>
      <c r="I553" s="70"/>
      <c r="J553" s="70"/>
      <c r="K553" s="70"/>
      <c r="L553" s="11">
        <f>C553/100*1.9828543/0.15</f>
        <v>1.9828542999999998</v>
      </c>
      <c r="M553" s="19" t="s">
        <v>750</v>
      </c>
    </row>
    <row r="554" spans="2:13">
      <c r="B554" s="104" t="s">
        <v>369</v>
      </c>
      <c r="C554" s="4">
        <v>15</v>
      </c>
      <c r="D554" s="5">
        <f>C554/100*125/0.15</f>
        <v>125</v>
      </c>
      <c r="E554" s="11">
        <f>C554/100*1.4/0.15</f>
        <v>1.4</v>
      </c>
      <c r="F554" s="11">
        <f>C554/100*0/0.15</f>
        <v>0</v>
      </c>
      <c r="G554" s="11">
        <f>C554/100*15/0.15</f>
        <v>15</v>
      </c>
      <c r="H554" s="11">
        <f t="shared" si="25"/>
        <v>0</v>
      </c>
      <c r="I554" s="70"/>
      <c r="J554" s="70"/>
      <c r="K554" s="70"/>
      <c r="L554" s="11">
        <f>C554/100*2.3768831/0.15</f>
        <v>2.3768831000000001</v>
      </c>
      <c r="M554" s="19" t="s">
        <v>750</v>
      </c>
    </row>
    <row r="555" spans="2:13">
      <c r="B555" s="104" t="s">
        <v>370</v>
      </c>
      <c r="C555" s="4">
        <v>100</v>
      </c>
      <c r="D555" s="5">
        <f>C555/100*308</f>
        <v>308</v>
      </c>
      <c r="E555" s="11">
        <f>C555/100*3.86</f>
        <v>3.86</v>
      </c>
      <c r="F555" s="11">
        <f>C555/100*21.3</f>
        <v>21.3</v>
      </c>
      <c r="G555" s="11">
        <f>C555/100*24.45</f>
        <v>24.45</v>
      </c>
      <c r="H555" s="11">
        <f t="shared" si="25"/>
        <v>0</v>
      </c>
      <c r="I555" s="70"/>
      <c r="J555" s="70"/>
      <c r="K555" s="70">
        <f>C555/100*0.39</f>
        <v>0.39</v>
      </c>
      <c r="L555" s="11">
        <f>C555/100*0.0934992</f>
        <v>9.3499200000000005E-2</v>
      </c>
      <c r="M555" s="19" t="s">
        <v>751</v>
      </c>
    </row>
    <row r="556" spans="2:13">
      <c r="B556" s="104" t="s">
        <v>371</v>
      </c>
      <c r="C556" s="4">
        <v>100</v>
      </c>
      <c r="D556" s="5">
        <f>C556/100*0</f>
        <v>0</v>
      </c>
      <c r="E556" s="11">
        <f>C556/100*0</f>
        <v>0</v>
      </c>
      <c r="F556" s="11">
        <f>C556/100*0</f>
        <v>0</v>
      </c>
      <c r="G556" s="11">
        <f>C556/100*0</f>
        <v>0</v>
      </c>
      <c r="H556" s="11">
        <f t="shared" si="25"/>
        <v>0</v>
      </c>
      <c r="I556" s="70">
        <f>C556/100*0</f>
        <v>0</v>
      </c>
      <c r="J556" s="70">
        <f>C556/100*0</f>
        <v>0</v>
      </c>
      <c r="K556" s="70">
        <f>C556/100*0</f>
        <v>0</v>
      </c>
      <c r="L556" s="11">
        <f>C556/100*99.142719</f>
        <v>99.142719</v>
      </c>
      <c r="M556" s="19" t="s">
        <v>750</v>
      </c>
    </row>
    <row r="557" spans="2:13">
      <c r="B557" s="104" t="s">
        <v>372</v>
      </c>
      <c r="C557" s="4">
        <v>100</v>
      </c>
      <c r="D557" s="5">
        <f>C557/100*264</f>
        <v>264</v>
      </c>
      <c r="E557" s="11">
        <f>C557/100*9.3</f>
        <v>9.3000000000000007</v>
      </c>
      <c r="F557" s="11">
        <f>C557/100*4.4</f>
        <v>4.4000000000000004</v>
      </c>
      <c r="G557" s="11">
        <f>C557/100*46.7</f>
        <v>46.7</v>
      </c>
      <c r="H557" s="11">
        <f t="shared" si="25"/>
        <v>0</v>
      </c>
      <c r="I557" s="70">
        <f>C557/100*0.4</f>
        <v>0.4</v>
      </c>
      <c r="J557" s="70">
        <f>C557/100*1.9</f>
        <v>1.9</v>
      </c>
      <c r="K557" s="70">
        <f>C557/100*2.3</f>
        <v>2.2999999999999998</v>
      </c>
      <c r="L557" s="11">
        <f>C557/100*1.3</f>
        <v>1.3</v>
      </c>
      <c r="M557" s="19">
        <v>1</v>
      </c>
    </row>
    <row r="558" spans="2:13">
      <c r="B558" s="104" t="s">
        <v>373</v>
      </c>
      <c r="C558" s="4">
        <v>100</v>
      </c>
      <c r="D558" s="5">
        <f>C558/100*6</f>
        <v>6</v>
      </c>
      <c r="E558" s="11">
        <f>C558/100*0.2</f>
        <v>0.2</v>
      </c>
      <c r="F558" s="11">
        <f>C558/100*0</f>
        <v>0</v>
      </c>
      <c r="G558" s="11">
        <f>C558/100*3</f>
        <v>3</v>
      </c>
      <c r="H558" s="11">
        <f t="shared" si="25"/>
        <v>0</v>
      </c>
      <c r="I558" s="70">
        <f>C558/100*0</f>
        <v>0</v>
      </c>
      <c r="J558" s="70">
        <f>C558/100*2.9</f>
        <v>2.9</v>
      </c>
      <c r="K558" s="70">
        <f>C558/100*2.9</f>
        <v>2.9</v>
      </c>
      <c r="L558" s="70">
        <f>C558/100*0</f>
        <v>0</v>
      </c>
      <c r="M558" s="3">
        <v>6</v>
      </c>
    </row>
    <row r="559" spans="2:13">
      <c r="B559" s="104" t="s">
        <v>991</v>
      </c>
      <c r="C559" s="4">
        <v>85</v>
      </c>
      <c r="D559" s="5">
        <f>C559/100*9/0.85</f>
        <v>9</v>
      </c>
      <c r="E559" s="11">
        <f>C559/100*0.1/0.85</f>
        <v>0.1</v>
      </c>
      <c r="F559" s="11">
        <f>C559/100*0/0.85</f>
        <v>0</v>
      </c>
      <c r="G559" s="11">
        <f>C559/100*3.1/0.85</f>
        <v>3.0999999999999996</v>
      </c>
      <c r="H559" s="11">
        <f t="shared" si="25"/>
        <v>0</v>
      </c>
      <c r="I559" s="70"/>
      <c r="J559" s="70"/>
      <c r="K559" s="70">
        <f>C559/100*2.6/0.85</f>
        <v>2.6</v>
      </c>
      <c r="L559" s="11">
        <f>C559/100*0/0.85</f>
        <v>0</v>
      </c>
      <c r="M559" s="3">
        <v>6</v>
      </c>
    </row>
    <row r="560" spans="2:13">
      <c r="B560" s="104" t="s">
        <v>374</v>
      </c>
      <c r="C560" s="4">
        <v>100</v>
      </c>
      <c r="D560" s="5">
        <f>C560/100*5</f>
        <v>5</v>
      </c>
      <c r="E560" s="11">
        <f>C560/100*0</f>
        <v>0</v>
      </c>
      <c r="F560" s="11">
        <f>C560/100*0</f>
        <v>0</v>
      </c>
      <c r="G560" s="11">
        <f>C560/100*2.5</f>
        <v>2.5</v>
      </c>
      <c r="H560" s="11">
        <f t="shared" si="25"/>
        <v>0</v>
      </c>
      <c r="I560" s="70"/>
      <c r="J560" s="70"/>
      <c r="K560" s="70">
        <f>C560/100*2.2</f>
        <v>2.2000000000000002</v>
      </c>
      <c r="L560" s="11">
        <f>C560/100*0.005</f>
        <v>5.0000000000000001E-3</v>
      </c>
      <c r="M560" s="3">
        <v>6</v>
      </c>
    </row>
    <row r="561" spans="2:13">
      <c r="B561" s="104" t="s">
        <v>375</v>
      </c>
      <c r="C561" s="4">
        <v>100</v>
      </c>
      <c r="D561" s="5">
        <f>C561/100*369</f>
        <v>369</v>
      </c>
      <c r="E561" s="11">
        <f>C561/100*6.3</f>
        <v>6.3</v>
      </c>
      <c r="F561" s="11">
        <f>C561/100*1</f>
        <v>1</v>
      </c>
      <c r="G561" s="11">
        <f>C561/100*80</f>
        <v>80</v>
      </c>
      <c r="H561" s="11">
        <f t="shared" si="25"/>
        <v>0</v>
      </c>
      <c r="I561" s="70">
        <f>C561/100*0</f>
        <v>0</v>
      </c>
      <c r="J561" s="70">
        <f>C561/100*0.5</f>
        <v>0.5</v>
      </c>
      <c r="K561" s="70">
        <f>C561/100*0.5</f>
        <v>0.5</v>
      </c>
      <c r="L561" s="70">
        <f>C561/100*0</f>
        <v>0</v>
      </c>
      <c r="M561" s="3">
        <v>1</v>
      </c>
    </row>
    <row r="562" spans="2:13">
      <c r="B562" s="104" t="s">
        <v>806</v>
      </c>
      <c r="C562" s="4">
        <v>100</v>
      </c>
      <c r="D562" s="5">
        <f>C562/100*378</f>
        <v>378</v>
      </c>
      <c r="E562" s="11">
        <f>C562/100*10.1</f>
        <v>10.1</v>
      </c>
      <c r="F562" s="11">
        <f>C562/100*6.4</f>
        <v>6.4</v>
      </c>
      <c r="G562" s="11">
        <f>C562/100*70.1</f>
        <v>70.099999999999994</v>
      </c>
      <c r="H562" s="11">
        <f t="shared" si="25"/>
        <v>0</v>
      </c>
      <c r="I562" s="70"/>
      <c r="J562" s="70"/>
      <c r="K562" s="70"/>
      <c r="L562" s="11">
        <f>C562/100*0.0101684</f>
        <v>1.0168399999999999E-2</v>
      </c>
      <c r="M562" s="19" t="s">
        <v>750</v>
      </c>
    </row>
    <row r="563" spans="2:13">
      <c r="B563" s="104" t="s">
        <v>1140</v>
      </c>
      <c r="C563" s="4">
        <v>100</v>
      </c>
      <c r="D563" s="5">
        <f>C563/100*175</f>
        <v>175</v>
      </c>
      <c r="E563" s="11">
        <f>C563/100*5.4</f>
        <v>5.4</v>
      </c>
      <c r="F563" s="11">
        <f>C563/100*0.6</f>
        <v>0.6</v>
      </c>
      <c r="G563" s="11">
        <f>C563/100*40.2</f>
        <v>40.200000000000003</v>
      </c>
      <c r="H563" s="11">
        <f t="shared" si="25"/>
        <v>0</v>
      </c>
      <c r="I563" s="70"/>
      <c r="J563" s="70"/>
      <c r="K563" s="70">
        <f>C563/100*6.4</f>
        <v>6.4</v>
      </c>
      <c r="L563" s="11">
        <f>C563/100*0.338102</f>
        <v>0.33810200000000001</v>
      </c>
      <c r="M563" s="19" t="s">
        <v>751</v>
      </c>
    </row>
    <row r="564" spans="2:13">
      <c r="B564" s="81" t="s">
        <v>1145</v>
      </c>
      <c r="C564" s="4">
        <v>100</v>
      </c>
      <c r="D564" s="5">
        <f>C564/100*137.76</f>
        <v>137.76</v>
      </c>
      <c r="E564" s="11">
        <f>C564/100*7.14</f>
        <v>7.14</v>
      </c>
      <c r="F564" s="11">
        <f>C564/100*0.71</f>
        <v>0.71</v>
      </c>
      <c r="G564" s="11">
        <f>C564/100*25.39</f>
        <v>25.39</v>
      </c>
      <c r="H564" s="11">
        <f t="shared" si="25"/>
        <v>0</v>
      </c>
      <c r="I564" s="70">
        <f>C564/100*0.5</f>
        <v>0.5</v>
      </c>
      <c r="J564" s="70">
        <f>C564/100*10.58</f>
        <v>10.58</v>
      </c>
      <c r="K564" s="70">
        <f>C564/100*11.08</f>
        <v>11.08</v>
      </c>
      <c r="L564" s="11">
        <f>C564/100*0</f>
        <v>0</v>
      </c>
      <c r="M564" s="3">
        <v>3</v>
      </c>
    </row>
    <row r="565" spans="2:13">
      <c r="B565" s="81" t="s">
        <v>1143</v>
      </c>
      <c r="C565" s="4">
        <v>100</v>
      </c>
      <c r="D565" s="5">
        <f>C565/100*332</f>
        <v>332</v>
      </c>
      <c r="E565" s="11">
        <f>C565/100*17.2</f>
        <v>17.2</v>
      </c>
      <c r="F565" s="11">
        <f>C565/100*1.7</f>
        <v>1.7</v>
      </c>
      <c r="G565" s="11">
        <f>C565/100*61.2</f>
        <v>61.2</v>
      </c>
      <c r="H565" s="11">
        <f t="shared" si="25"/>
        <v>0</v>
      </c>
      <c r="I565" s="70">
        <f>C565/100*1.2</f>
        <v>1.2</v>
      </c>
      <c r="J565" s="70">
        <f>C565/100*25.5</f>
        <v>25.5</v>
      </c>
      <c r="K565" s="70">
        <f>C565/100*26.7</f>
        <v>26.7</v>
      </c>
      <c r="L565" s="11">
        <f>C565/100*0</f>
        <v>0</v>
      </c>
      <c r="M565" s="3">
        <v>3</v>
      </c>
    </row>
    <row r="566" spans="2:13">
      <c r="B566" s="81" t="s">
        <v>1144</v>
      </c>
      <c r="C566" s="4">
        <v>100</v>
      </c>
      <c r="D566" s="5">
        <f>C566/100*121</f>
        <v>121</v>
      </c>
      <c r="E566" s="11">
        <f>C566/100*6.2</f>
        <v>6.2</v>
      </c>
      <c r="F566" s="11">
        <f>C566/100*0.6</f>
        <v>0.6</v>
      </c>
      <c r="G566" s="11">
        <f>C566/100*22.3</f>
        <v>22.3</v>
      </c>
      <c r="H566" s="11">
        <f t="shared" si="25"/>
        <v>0</v>
      </c>
      <c r="I566" s="70">
        <f>C566/100*0.7</f>
        <v>0.7</v>
      </c>
      <c r="J566" s="70">
        <f>C566/100*6.9</f>
        <v>6.9</v>
      </c>
      <c r="K566" s="70">
        <f>C566/100*7.6</f>
        <v>7.6</v>
      </c>
      <c r="L566" s="11">
        <f>C566/100*0</f>
        <v>0</v>
      </c>
      <c r="M566" s="3">
        <v>3</v>
      </c>
    </row>
    <row r="567" spans="2:13">
      <c r="B567" s="104" t="s">
        <v>376</v>
      </c>
      <c r="C567" s="4">
        <v>100</v>
      </c>
      <c r="D567" s="5">
        <f>C567/100*148</f>
        <v>148</v>
      </c>
      <c r="E567" s="11">
        <f>C567/100*11.6</f>
        <v>11.6</v>
      </c>
      <c r="F567" s="11">
        <f>C567/100*2.7</f>
        <v>2.7</v>
      </c>
      <c r="G567" s="11">
        <f>C567/100*19.3</f>
        <v>19.3</v>
      </c>
      <c r="H567" s="11">
        <f t="shared" si="25"/>
        <v>0</v>
      </c>
      <c r="I567" s="70"/>
      <c r="J567" s="70"/>
      <c r="K567" s="70"/>
      <c r="L567" s="11">
        <f>C567/100*0.8643211</f>
        <v>0.86432109999999995</v>
      </c>
      <c r="M567" s="3">
        <v>3</v>
      </c>
    </row>
    <row r="568" spans="2:13">
      <c r="B568" s="104" t="s">
        <v>849</v>
      </c>
      <c r="C568" s="4">
        <v>100</v>
      </c>
      <c r="D568" s="5">
        <f>C568/100*192</f>
        <v>192</v>
      </c>
      <c r="E568" s="11">
        <f>C568/100*12.5</f>
        <v>12.5</v>
      </c>
      <c r="F568" s="11">
        <f>C568/100*6</f>
        <v>6</v>
      </c>
      <c r="G568" s="11">
        <f>C568/100*21.9</f>
        <v>21.9</v>
      </c>
      <c r="H568" s="11">
        <f t="shared" si="25"/>
        <v>0</v>
      </c>
      <c r="I568" s="70">
        <f>C568/100*0.6</f>
        <v>0.6</v>
      </c>
      <c r="J568" s="70">
        <f>C568/100*4.3</f>
        <v>4.3</v>
      </c>
      <c r="K568" s="70">
        <f>C568/100*4.9</f>
        <v>4.9000000000000004</v>
      </c>
      <c r="L568" s="11">
        <f>C568/100*12.456342</f>
        <v>12.456341999999999</v>
      </c>
      <c r="M568" s="19" t="s">
        <v>750</v>
      </c>
    </row>
    <row r="569" spans="2:13">
      <c r="B569" s="104" t="s">
        <v>815</v>
      </c>
      <c r="C569" s="4">
        <v>100</v>
      </c>
      <c r="D569" s="5">
        <f>C569/100*73</f>
        <v>73</v>
      </c>
      <c r="E569" s="11">
        <f>C569/100*0.1</f>
        <v>0.1</v>
      </c>
      <c r="F569" s="11">
        <f>C569/100*0</f>
        <v>0</v>
      </c>
      <c r="G569" s="11">
        <f>C569/100*2</f>
        <v>2</v>
      </c>
      <c r="H569" s="11">
        <f t="shared" si="25"/>
        <v>0</v>
      </c>
      <c r="I569" s="70"/>
      <c r="J569" s="70"/>
      <c r="K569" s="70"/>
      <c r="L569" s="11">
        <f>C569/100*0.0076263</f>
        <v>7.6262999999999999E-3</v>
      </c>
      <c r="M569" s="19" t="s">
        <v>751</v>
      </c>
    </row>
    <row r="570" spans="2:13">
      <c r="B570" s="104" t="s">
        <v>377</v>
      </c>
      <c r="C570" s="4">
        <v>365</v>
      </c>
      <c r="D570" s="5">
        <f>C570/100*416/3.65</f>
        <v>416</v>
      </c>
      <c r="E570" s="11">
        <f>C570/100*21.94/3.65</f>
        <v>21.94</v>
      </c>
      <c r="F570" s="11">
        <f>C570/100*23.43/3.65</f>
        <v>23.43</v>
      </c>
      <c r="G570" s="11">
        <f>C570/100*25.92/3.65</f>
        <v>25.92</v>
      </c>
      <c r="H570" s="11">
        <f>C570/100*50/3.65</f>
        <v>50</v>
      </c>
      <c r="I570" s="70"/>
      <c r="J570" s="70"/>
      <c r="K570" s="70">
        <f>C570/100*4.56/3.65</f>
        <v>4.5599999999999996</v>
      </c>
      <c r="L570" s="11">
        <f>C570/100*1.64/3.65</f>
        <v>1.64</v>
      </c>
      <c r="M570" s="3">
        <v>3</v>
      </c>
    </row>
    <row r="571" spans="2:13">
      <c r="B571" s="104" t="s">
        <v>998</v>
      </c>
      <c r="C571" s="4">
        <v>100</v>
      </c>
      <c r="D571" s="5">
        <f>C571/100*351</f>
        <v>351</v>
      </c>
      <c r="E571" s="11">
        <f>C571/100*5.74</f>
        <v>5.74</v>
      </c>
      <c r="F571" s="11">
        <f>C571/100*18.45</f>
        <v>18.45</v>
      </c>
      <c r="G571" s="11">
        <f>C571/100*40.27</f>
        <v>40.270000000000003</v>
      </c>
      <c r="H571" s="11">
        <f t="shared" ref="H571:H585" si="26">C571/100*0</f>
        <v>0</v>
      </c>
      <c r="I571" s="70"/>
      <c r="J571" s="70"/>
      <c r="K571" s="70">
        <f>C571/100*2.71</f>
        <v>2.71</v>
      </c>
      <c r="L571" s="11">
        <f>C571/100*0</f>
        <v>0</v>
      </c>
      <c r="M571" s="19" t="s">
        <v>751</v>
      </c>
    </row>
    <row r="572" spans="2:13">
      <c r="B572" s="104" t="s">
        <v>378</v>
      </c>
      <c r="C572" s="4">
        <v>15</v>
      </c>
      <c r="D572" s="5">
        <f>C572/100*3.8/0.15</f>
        <v>3.8</v>
      </c>
      <c r="E572" s="11">
        <f>C572/100*0/0.15</f>
        <v>0</v>
      </c>
      <c r="F572" s="11">
        <f>C572/100*0/0.15</f>
        <v>0</v>
      </c>
      <c r="G572" s="11">
        <f>C572/100*1.1/0.15</f>
        <v>1.1000000000000001</v>
      </c>
      <c r="H572" s="11">
        <f t="shared" si="26"/>
        <v>0</v>
      </c>
      <c r="I572" s="70"/>
      <c r="J572" s="70"/>
      <c r="K572" s="70"/>
      <c r="L572" s="70"/>
      <c r="M572" s="19" t="s">
        <v>750</v>
      </c>
    </row>
    <row r="573" spans="2:13">
      <c r="B573" s="104" t="s">
        <v>379</v>
      </c>
      <c r="C573" s="4">
        <v>15</v>
      </c>
      <c r="D573" s="5">
        <f>C573/100*3.8/0.15</f>
        <v>3.8</v>
      </c>
      <c r="E573" s="11">
        <f>C573/100*0/0.15</f>
        <v>0</v>
      </c>
      <c r="F573" s="11">
        <f>C573/100*0/0.15</f>
        <v>0</v>
      </c>
      <c r="G573" s="11">
        <f>C573/100*1.1/0.15</f>
        <v>1.1000000000000001</v>
      </c>
      <c r="H573" s="11">
        <f t="shared" si="26"/>
        <v>0</v>
      </c>
      <c r="I573" s="70"/>
      <c r="J573" s="70"/>
      <c r="K573" s="70"/>
      <c r="L573" s="70">
        <f>C573/100*0.001271/0.15</f>
        <v>1.271E-3</v>
      </c>
      <c r="M573" s="19" t="s">
        <v>750</v>
      </c>
    </row>
    <row r="574" spans="2:13">
      <c r="B574" s="104" t="s">
        <v>380</v>
      </c>
      <c r="C574" s="4">
        <v>100</v>
      </c>
      <c r="D574" s="5">
        <f>C574/100*37</f>
        <v>37</v>
      </c>
      <c r="E574" s="11">
        <f>C574/100*0.6</f>
        <v>0.6</v>
      </c>
      <c r="F574" s="11">
        <f>C574/100*0.1</f>
        <v>0.1</v>
      </c>
      <c r="G574" s="11">
        <f>C574/100*9.5</f>
        <v>9.5</v>
      </c>
      <c r="H574" s="11">
        <f t="shared" si="26"/>
        <v>0</v>
      </c>
      <c r="I574" s="70">
        <f>C574/100*0.1</f>
        <v>0.1</v>
      </c>
      <c r="J574" s="70">
        <f>C574/100*0.2</f>
        <v>0.2</v>
      </c>
      <c r="K574" s="70">
        <f>C574/100*0.3</f>
        <v>0.3</v>
      </c>
      <c r="L574" s="70">
        <f>C574/100*0</f>
        <v>0</v>
      </c>
      <c r="M574" s="3">
        <v>2</v>
      </c>
    </row>
    <row r="575" spans="2:13">
      <c r="B575" s="104" t="s">
        <v>381</v>
      </c>
      <c r="C575" s="4">
        <v>100</v>
      </c>
      <c r="D575" s="5">
        <f>C575/100*84</f>
        <v>84</v>
      </c>
      <c r="E575" s="11">
        <f>C575/100*0.84</f>
        <v>0.84</v>
      </c>
      <c r="F575" s="11">
        <f>C575/100*3.84</f>
        <v>3.84</v>
      </c>
      <c r="G575" s="11">
        <f>C575/100*11.52</f>
        <v>11.52</v>
      </c>
      <c r="H575" s="11">
        <f t="shared" si="26"/>
        <v>0</v>
      </c>
      <c r="I575" s="70"/>
      <c r="J575" s="70"/>
      <c r="K575" s="70"/>
      <c r="L575" s="11">
        <f>C575/100*1.0066799</f>
        <v>1.0066799</v>
      </c>
      <c r="M575" s="19" t="s">
        <v>750</v>
      </c>
    </row>
    <row r="576" spans="2:13">
      <c r="B576" s="104" t="s">
        <v>382</v>
      </c>
      <c r="C576" s="4">
        <v>100</v>
      </c>
      <c r="D576" s="5">
        <f>C576/100*117.6</f>
        <v>117.6</v>
      </c>
      <c r="E576" s="11">
        <f>C576/100*2.28</f>
        <v>2.2799999999999998</v>
      </c>
      <c r="F576" s="11">
        <f>C576/100*4.32</f>
        <v>4.32</v>
      </c>
      <c r="G576" s="11">
        <f>C576/100*17.52</f>
        <v>17.52</v>
      </c>
      <c r="H576" s="11">
        <f t="shared" si="26"/>
        <v>0</v>
      </c>
      <c r="I576" s="70"/>
      <c r="J576" s="70"/>
      <c r="K576" s="70"/>
      <c r="L576" s="11">
        <f>C576/100*1.0676908</f>
        <v>1.0676908000000001</v>
      </c>
      <c r="M576" s="19" t="s">
        <v>750</v>
      </c>
    </row>
    <row r="577" spans="2:13">
      <c r="B577" s="104" t="s">
        <v>383</v>
      </c>
      <c r="C577" s="4">
        <v>100</v>
      </c>
      <c r="D577" s="5">
        <f>C577/100*160.44</f>
        <v>160.44</v>
      </c>
      <c r="E577" s="11">
        <f>C577/100*2.31</f>
        <v>2.31</v>
      </c>
      <c r="F577" s="11">
        <f>C577/100*0.28</f>
        <v>0.28000000000000003</v>
      </c>
      <c r="G577" s="11">
        <f>C577/100*35.68</f>
        <v>35.68</v>
      </c>
      <c r="H577" s="11">
        <f t="shared" si="26"/>
        <v>0</v>
      </c>
      <c r="I577" s="70">
        <f>C577/100*0</f>
        <v>0</v>
      </c>
      <c r="J577" s="70">
        <f>C577/100*0.28</f>
        <v>0.28000000000000003</v>
      </c>
      <c r="K577" s="70">
        <f>C577/100*0.28</f>
        <v>0.28000000000000003</v>
      </c>
      <c r="L577" s="70">
        <f>C577/100*1.02</f>
        <v>1.02</v>
      </c>
      <c r="M577" s="3">
        <v>1</v>
      </c>
    </row>
    <row r="578" spans="2:13">
      <c r="B578" s="104" t="s">
        <v>384</v>
      </c>
      <c r="C578" s="4">
        <v>100</v>
      </c>
      <c r="D578" s="5">
        <f>C578/100*161</f>
        <v>161</v>
      </c>
      <c r="E578" s="11">
        <f>C578/100*2.54</f>
        <v>2.54</v>
      </c>
      <c r="F578" s="11">
        <f>C578/100*0.37</f>
        <v>0.37</v>
      </c>
      <c r="G578" s="11">
        <f>C578/100*35.07</f>
        <v>35.07</v>
      </c>
      <c r="H578" s="11">
        <f t="shared" si="26"/>
        <v>0</v>
      </c>
      <c r="I578" s="70"/>
      <c r="J578" s="70"/>
      <c r="K578" s="70">
        <f>C578/100*0.21</f>
        <v>0.21</v>
      </c>
      <c r="L578" s="11">
        <f>C578/100*1.311709</f>
        <v>1.311709</v>
      </c>
      <c r="M578" s="3">
        <v>1</v>
      </c>
    </row>
    <row r="579" spans="2:13">
      <c r="B579" s="104" t="s">
        <v>385</v>
      </c>
      <c r="C579" s="4">
        <v>160</v>
      </c>
      <c r="D579" s="5">
        <f>C579/100*258/1.6</f>
        <v>258</v>
      </c>
      <c r="E579" s="11">
        <f>C579/100*4.06/1.6</f>
        <v>4.0599999999999996</v>
      </c>
      <c r="F579" s="11">
        <f>C579/100*0.59/1.6</f>
        <v>0.59</v>
      </c>
      <c r="G579" s="11">
        <f>C579/100*56.11/1.6</f>
        <v>56.110000000000007</v>
      </c>
      <c r="H579" s="11">
        <f t="shared" si="26"/>
        <v>0</v>
      </c>
      <c r="I579" s="70"/>
      <c r="J579" s="70"/>
      <c r="K579" s="70">
        <f>C579/100*0.34/1.6</f>
        <v>0.34</v>
      </c>
      <c r="L579" s="70">
        <f>C579/100*2.13/1.6</f>
        <v>2.13</v>
      </c>
      <c r="M579" s="3">
        <v>1</v>
      </c>
    </row>
    <row r="580" spans="2:13">
      <c r="B580" s="81" t="s">
        <v>1203</v>
      </c>
      <c r="C580" s="4">
        <v>100</v>
      </c>
      <c r="D580" s="5">
        <f>C580/100*14</f>
        <v>14</v>
      </c>
      <c r="E580" s="11">
        <f>C580/100*1.3</f>
        <v>1.3</v>
      </c>
      <c r="F580" s="11">
        <f>C580/100*0.1</f>
        <v>0.1</v>
      </c>
      <c r="G580" s="11">
        <f>C580/100*2.8</f>
        <v>2.8</v>
      </c>
      <c r="H580" s="11">
        <f t="shared" si="26"/>
        <v>0</v>
      </c>
      <c r="I580" s="70">
        <f>C580/100*0.2</f>
        <v>0.2</v>
      </c>
      <c r="J580" s="70">
        <f>C580/100*1.1</f>
        <v>1.1000000000000001</v>
      </c>
      <c r="K580" s="70">
        <f>C580/100*1.3</f>
        <v>1.3</v>
      </c>
      <c r="L580" s="11">
        <f>C580/100*0</f>
        <v>0</v>
      </c>
      <c r="M580" s="3">
        <v>6</v>
      </c>
    </row>
    <row r="581" spans="2:13">
      <c r="B581" s="104" t="s">
        <v>949</v>
      </c>
      <c r="C581" s="4">
        <v>100</v>
      </c>
      <c r="D581" s="5">
        <f>C581/100*211</f>
        <v>211</v>
      </c>
      <c r="E581" s="11">
        <f>C581/100*9.13</f>
        <v>9.1300000000000008</v>
      </c>
      <c r="F581" s="11">
        <f>C581/100*15.76</f>
        <v>15.76</v>
      </c>
      <c r="G581" s="11">
        <f>C581/100*5.78</f>
        <v>5.78</v>
      </c>
      <c r="H581" s="11">
        <f t="shared" si="26"/>
        <v>0</v>
      </c>
      <c r="I581" s="70"/>
      <c r="J581" s="70"/>
      <c r="K581" s="70">
        <f>C581/100*0.7</f>
        <v>0.7</v>
      </c>
      <c r="L581" s="11">
        <f>C581/100*1.16</f>
        <v>1.1599999999999999</v>
      </c>
      <c r="M581" s="3">
        <v>3</v>
      </c>
    </row>
    <row r="582" spans="2:13">
      <c r="B582" s="104" t="s">
        <v>386</v>
      </c>
      <c r="C582" s="4">
        <v>70</v>
      </c>
      <c r="D582" s="5">
        <f>C582/100*354/0.7</f>
        <v>354</v>
      </c>
      <c r="E582" s="11">
        <f>C582/100*4.3/0.7</f>
        <v>4.3</v>
      </c>
      <c r="F582" s="11">
        <f>C582/100*17.5/0.7</f>
        <v>17.5</v>
      </c>
      <c r="G582" s="11">
        <f>C582/100*44.9/0.7</f>
        <v>44.9</v>
      </c>
      <c r="H582" s="11">
        <f t="shared" si="26"/>
        <v>0</v>
      </c>
      <c r="I582" s="70"/>
      <c r="J582" s="70"/>
      <c r="K582" s="70"/>
      <c r="L582" s="11">
        <f>C582/100*1/0.7</f>
        <v>1</v>
      </c>
      <c r="M582" s="19" t="s">
        <v>751</v>
      </c>
    </row>
    <row r="583" spans="2:13">
      <c r="B583" s="104" t="s">
        <v>387</v>
      </c>
      <c r="C583" s="4">
        <v>26</v>
      </c>
      <c r="D583" s="5">
        <f>C583/100*22/0.26</f>
        <v>22</v>
      </c>
      <c r="E583" s="11">
        <f>C583/100*0.8/0.26</f>
        <v>0.8</v>
      </c>
      <c r="F583" s="11">
        <f>C583/100*0/0.26</f>
        <v>0</v>
      </c>
      <c r="G583" s="11">
        <f>C583/100*4.7/0.26</f>
        <v>4.7</v>
      </c>
      <c r="H583" s="11">
        <f t="shared" si="26"/>
        <v>0</v>
      </c>
      <c r="I583" s="70"/>
      <c r="J583" s="70"/>
      <c r="K583" s="70">
        <f>C583/100*0.6/0.26</f>
        <v>0.6</v>
      </c>
      <c r="L583" s="11">
        <f>C583/100*0.3/0.26</f>
        <v>0.3</v>
      </c>
      <c r="M583" s="19" t="s">
        <v>753</v>
      </c>
    </row>
    <row r="584" spans="2:13">
      <c r="B584" s="109" t="s">
        <v>856</v>
      </c>
      <c r="C584" s="4">
        <v>100</v>
      </c>
      <c r="D584" s="5">
        <f>C584/100*378</f>
        <v>378</v>
      </c>
      <c r="E584" s="11">
        <f>C584/100*13</f>
        <v>13</v>
      </c>
      <c r="F584" s="11">
        <f>C584/100*2.2</f>
        <v>2.2000000000000002</v>
      </c>
      <c r="G584" s="11">
        <f>C584/100*72.2</f>
        <v>72.2</v>
      </c>
      <c r="H584" s="11">
        <f t="shared" si="26"/>
        <v>0</v>
      </c>
      <c r="I584" s="70">
        <f>C584/100*0.7</f>
        <v>0.7</v>
      </c>
      <c r="J584" s="70">
        <f>C584/100*2</f>
        <v>2</v>
      </c>
      <c r="K584" s="70">
        <f>C584/100*2.7</f>
        <v>2.7</v>
      </c>
      <c r="L584" s="11">
        <f>C584/100*0</f>
        <v>0</v>
      </c>
      <c r="M584" s="3">
        <v>1</v>
      </c>
    </row>
    <row r="585" spans="2:13">
      <c r="B585" s="81" t="s">
        <v>1070</v>
      </c>
      <c r="C585" s="4">
        <v>100</v>
      </c>
      <c r="D585" s="5">
        <f>C585/100*356</f>
        <v>356</v>
      </c>
      <c r="E585" s="11">
        <f>C585/100*13</f>
        <v>13</v>
      </c>
      <c r="F585" s="11">
        <f>C585/100*2</f>
        <v>2</v>
      </c>
      <c r="G585" s="11">
        <f>C585/100*72</f>
        <v>72</v>
      </c>
      <c r="H585" s="11">
        <f t="shared" si="26"/>
        <v>0</v>
      </c>
      <c r="I585" s="70"/>
      <c r="J585" s="70"/>
      <c r="K585" s="70">
        <f>C585/100*1</f>
        <v>1</v>
      </c>
      <c r="L585" s="11">
        <f>C585/100*0</f>
        <v>0</v>
      </c>
      <c r="M585" s="3">
        <v>1</v>
      </c>
    </row>
    <row r="586" spans="2:13">
      <c r="B586" s="1" t="s">
        <v>1178</v>
      </c>
      <c r="C586" s="170">
        <v>100</v>
      </c>
      <c r="D586" s="5">
        <f>C586/100*187.5</f>
        <v>187.5</v>
      </c>
      <c r="E586" s="11">
        <f>C586/100*6.219</f>
        <v>6.2190000000000003</v>
      </c>
      <c r="F586" s="11">
        <f>C586/100*11.63</f>
        <v>11.63</v>
      </c>
      <c r="G586" s="11">
        <f>C586/100*14.775</f>
        <v>14.775</v>
      </c>
      <c r="H586" s="11">
        <f>C586/100*78.75</f>
        <v>78.75</v>
      </c>
      <c r="I586" s="70"/>
      <c r="J586" s="70"/>
      <c r="K586" s="70">
        <f>C586/100*0.55</f>
        <v>0.55000000000000004</v>
      </c>
      <c r="L586" s="11">
        <f>C586/100*0.725</f>
        <v>0.72499999999999998</v>
      </c>
      <c r="M586" s="3" t="s">
        <v>754</v>
      </c>
    </row>
    <row r="587" spans="2:13">
      <c r="B587" s="104" t="s">
        <v>928</v>
      </c>
      <c r="C587" s="4">
        <v>100</v>
      </c>
      <c r="D587" s="5">
        <f>C587/100*358</f>
        <v>358</v>
      </c>
      <c r="E587" s="11">
        <f>C587/100*13</f>
        <v>13</v>
      </c>
      <c r="F587" s="11">
        <f>C587/100*2</f>
        <v>2</v>
      </c>
      <c r="G587" s="11">
        <f>C587/100*72</f>
        <v>72</v>
      </c>
      <c r="H587" s="11">
        <f>C587/100*0</f>
        <v>0</v>
      </c>
      <c r="I587" s="70"/>
      <c r="J587" s="70"/>
      <c r="K587" s="70"/>
      <c r="L587" s="11">
        <f>C587/100*0</f>
        <v>0</v>
      </c>
      <c r="M587" s="3">
        <v>1</v>
      </c>
    </row>
    <row r="588" spans="2:13">
      <c r="B588" s="1" t="s">
        <v>1176</v>
      </c>
      <c r="C588" s="170">
        <v>100</v>
      </c>
      <c r="D588" s="5">
        <f>C588/100*118.5</f>
        <v>118.5</v>
      </c>
      <c r="E588" s="11">
        <f>C588/100*7.425</f>
        <v>7.4249999999999998</v>
      </c>
      <c r="F588" s="11">
        <f>C588/100*3.5</f>
        <v>3.5</v>
      </c>
      <c r="G588" s="11">
        <f>C588/100*14.6</f>
        <v>14.6</v>
      </c>
      <c r="H588" s="11">
        <f>C588/100*29.5</f>
        <v>29.5</v>
      </c>
      <c r="I588" s="70"/>
      <c r="J588" s="70"/>
      <c r="K588" s="70">
        <f>C588/100*0.55</f>
        <v>0.55000000000000004</v>
      </c>
      <c r="L588" s="11">
        <f>C588/100*0.775</f>
        <v>0.77500000000000002</v>
      </c>
      <c r="M588" s="3" t="s">
        <v>754</v>
      </c>
    </row>
    <row r="589" spans="2:13">
      <c r="B589" s="108" t="s">
        <v>388</v>
      </c>
      <c r="C589" s="4">
        <v>351.1</v>
      </c>
      <c r="D589" s="5">
        <f>C589/100*590/3.511</f>
        <v>590</v>
      </c>
      <c r="E589" s="11">
        <f>C589/100*19.17/3.511</f>
        <v>19.170000000000002</v>
      </c>
      <c r="F589" s="11">
        <f>C589/100*20.01/3.511</f>
        <v>20.010000000000002</v>
      </c>
      <c r="G589" s="11">
        <f>C589/100*78.72/3.511</f>
        <v>78.72</v>
      </c>
      <c r="H589" s="11">
        <f>C589/100*0</f>
        <v>0</v>
      </c>
      <c r="I589" s="70"/>
      <c r="J589" s="70"/>
      <c r="K589" s="70">
        <f>C589/100*4.92/3.511</f>
        <v>4.92</v>
      </c>
      <c r="L589" s="11">
        <f>C589/100*4.11/3.511</f>
        <v>4.1100000000000003</v>
      </c>
      <c r="M589" s="19" t="s">
        <v>753</v>
      </c>
    </row>
    <row r="590" spans="2:13">
      <c r="B590" s="104" t="s">
        <v>804</v>
      </c>
      <c r="C590" s="4">
        <v>100</v>
      </c>
      <c r="D590" s="5">
        <f>C590/100*149</f>
        <v>149</v>
      </c>
      <c r="E590" s="11">
        <f>C590/100*5.2</f>
        <v>5.2</v>
      </c>
      <c r="F590" s="11">
        <f>C590/100*0.9</f>
        <v>0.9</v>
      </c>
      <c r="G590" s="11">
        <f>C590/100*28.4</f>
        <v>28.4</v>
      </c>
      <c r="H590" s="11">
        <f>C590/100*0</f>
        <v>0</v>
      </c>
      <c r="I590" s="70"/>
      <c r="J590" s="70"/>
      <c r="K590" s="70">
        <f>C590/100*1.5</f>
        <v>1.5</v>
      </c>
      <c r="L590" s="11">
        <f>C590/100*0.4321605</f>
        <v>0.4321605</v>
      </c>
      <c r="M590" s="3">
        <v>1</v>
      </c>
    </row>
    <row r="591" spans="2:13">
      <c r="B591" s="104" t="s">
        <v>947</v>
      </c>
      <c r="C591" s="4">
        <v>100</v>
      </c>
      <c r="D591" s="5">
        <f>C591/100*127</f>
        <v>127</v>
      </c>
      <c r="E591" s="11">
        <f>C591/100*7.38</f>
        <v>7.38</v>
      </c>
      <c r="F591" s="11">
        <f>C591/100*3.59</f>
        <v>3.59</v>
      </c>
      <c r="G591" s="11">
        <f>C591/100*13.86</f>
        <v>13.86</v>
      </c>
      <c r="H591" s="11">
        <f>C591/100*62.45</f>
        <v>62.45</v>
      </c>
      <c r="I591" s="70"/>
      <c r="J591" s="70"/>
      <c r="K591" s="70">
        <f>C591/100*0.85</f>
        <v>0.85</v>
      </c>
      <c r="L591" s="11">
        <f>C591/100*0.82</f>
        <v>0.82</v>
      </c>
      <c r="M591" s="19" t="s">
        <v>753</v>
      </c>
    </row>
    <row r="592" spans="2:13">
      <c r="B592" s="1" t="s">
        <v>1177</v>
      </c>
      <c r="C592" s="170">
        <v>100</v>
      </c>
      <c r="D592" s="5">
        <f>C592/100*151.75</f>
        <v>151.75</v>
      </c>
      <c r="E592" s="11">
        <f>C592/100*7.994</f>
        <v>7.9939999999999998</v>
      </c>
      <c r="F592" s="11">
        <f>C592/100*5.775</f>
        <v>5.7750000000000004</v>
      </c>
      <c r="G592" s="11">
        <f>C592/100*17.525</f>
        <v>17.524999999999999</v>
      </c>
      <c r="H592" s="11">
        <f>C592/100*14.75</f>
        <v>14.75</v>
      </c>
      <c r="I592" s="70"/>
      <c r="J592" s="70"/>
      <c r="K592" s="70">
        <f>C592/100*1.15</f>
        <v>1.1499999999999999</v>
      </c>
      <c r="L592" s="11">
        <f>C592/100*0.75</f>
        <v>0.75</v>
      </c>
      <c r="M592" s="3" t="s">
        <v>754</v>
      </c>
    </row>
    <row r="593" spans="2:13">
      <c r="B593" s="1" t="s">
        <v>1175</v>
      </c>
      <c r="C593" s="170">
        <v>100</v>
      </c>
      <c r="D593" s="5">
        <f>C593/100*117</f>
        <v>117</v>
      </c>
      <c r="E593" s="11">
        <f>C593/100*5.781</f>
        <v>5.7809999999999997</v>
      </c>
      <c r="F593" s="11">
        <f>C593/100*3.925</f>
        <v>3.9249999999999998</v>
      </c>
      <c r="G593" s="11">
        <f>C593/100*15.2</f>
        <v>15.2</v>
      </c>
      <c r="H593" s="11">
        <f>C593/100*3.25</f>
        <v>3.25</v>
      </c>
      <c r="I593" s="70"/>
      <c r="J593" s="70"/>
      <c r="K593" s="70">
        <f>C593/100*1</f>
        <v>1</v>
      </c>
      <c r="L593" s="11">
        <f>C593/100*0.775</f>
        <v>0.77500000000000002</v>
      </c>
      <c r="M593" s="3" t="s">
        <v>754</v>
      </c>
    </row>
    <row r="594" spans="2:13">
      <c r="B594" s="104" t="s">
        <v>968</v>
      </c>
      <c r="C594" s="4">
        <v>100</v>
      </c>
      <c r="D594" s="5">
        <f>C594/100*156</f>
        <v>156</v>
      </c>
      <c r="E594" s="11">
        <f>C594/100*5.55</f>
        <v>5.55</v>
      </c>
      <c r="F594" s="11">
        <f>C594/100*4.2</f>
        <v>4.2</v>
      </c>
      <c r="G594" s="11">
        <f>C594/100*22.45</f>
        <v>22.45</v>
      </c>
      <c r="H594" s="11">
        <f t="shared" ref="H594:H625" si="27">C594/100*0</f>
        <v>0</v>
      </c>
      <c r="I594" s="70"/>
      <c r="J594" s="70"/>
      <c r="K594" s="70">
        <f>C594/100*1.35</f>
        <v>1.35</v>
      </c>
      <c r="L594" s="11">
        <f>C594/100*1.3290208</f>
        <v>1.3290207999999999</v>
      </c>
      <c r="M594" s="19" t="s">
        <v>753</v>
      </c>
    </row>
    <row r="595" spans="2:13">
      <c r="B595" s="108" t="s">
        <v>389</v>
      </c>
      <c r="C595" s="4">
        <v>393.7</v>
      </c>
      <c r="D595" s="5">
        <f>C595/100*614/3.937</f>
        <v>614</v>
      </c>
      <c r="E595" s="11">
        <f>C595/100*21.85/3.937</f>
        <v>21.85</v>
      </c>
      <c r="F595" s="11">
        <f>C595/100*16.54/3.937</f>
        <v>16.54</v>
      </c>
      <c r="G595" s="11">
        <f>C595/100*88.39/3.937</f>
        <v>88.39</v>
      </c>
      <c r="H595" s="11">
        <f t="shared" si="27"/>
        <v>0</v>
      </c>
      <c r="I595" s="70"/>
      <c r="J595" s="70"/>
      <c r="K595" s="70">
        <f>C595/100*5.31/3.937</f>
        <v>5.31</v>
      </c>
      <c r="L595" s="11">
        <f>C595/100*5.12/3.937</f>
        <v>5.12</v>
      </c>
      <c r="M595" s="19" t="s">
        <v>753</v>
      </c>
    </row>
    <row r="596" spans="2:13">
      <c r="B596" s="104" t="s">
        <v>390</v>
      </c>
      <c r="C596" s="4">
        <v>100</v>
      </c>
      <c r="D596" s="5">
        <f>C596/100*44</f>
        <v>44</v>
      </c>
      <c r="E596" s="11">
        <f>C596/100*0.6</f>
        <v>0.6</v>
      </c>
      <c r="F596" s="11">
        <f>C596/100*1</f>
        <v>1</v>
      </c>
      <c r="G596" s="11">
        <f>C596/100*9.4</f>
        <v>9.4</v>
      </c>
      <c r="H596" s="11">
        <f t="shared" si="27"/>
        <v>0</v>
      </c>
      <c r="I596" s="70">
        <f>C596/100*0.4</f>
        <v>0.4</v>
      </c>
      <c r="J596" s="70">
        <f>C596/100*1.2</f>
        <v>1.2</v>
      </c>
      <c r="K596" s="70">
        <f>C596/100*1.6</f>
        <v>1.6</v>
      </c>
      <c r="L596" s="70">
        <f>C596/100*0</f>
        <v>0</v>
      </c>
      <c r="M596" s="3">
        <v>2</v>
      </c>
    </row>
    <row r="597" spans="2:13">
      <c r="B597" s="104" t="s">
        <v>391</v>
      </c>
      <c r="C597" s="4">
        <v>5</v>
      </c>
      <c r="D597" s="5">
        <f>C597/100*33/0.05</f>
        <v>33</v>
      </c>
      <c r="E597" s="11">
        <f>C597/100*1/0.05</f>
        <v>1</v>
      </c>
      <c r="F597" s="11">
        <f>C597/100*2.8/0.05</f>
        <v>2.7999999999999994</v>
      </c>
      <c r="G597" s="11">
        <f>C597/100*0.9/0.05</f>
        <v>0.9</v>
      </c>
      <c r="H597" s="11">
        <f t="shared" si="27"/>
        <v>0</v>
      </c>
      <c r="I597" s="70"/>
      <c r="J597" s="70"/>
      <c r="K597" s="70">
        <f>C597/100*0.538888/0.05</f>
        <v>0.53888800000000003</v>
      </c>
      <c r="L597" s="11">
        <f>C597/100*0/0.05</f>
        <v>0</v>
      </c>
      <c r="M597" s="3">
        <v>5</v>
      </c>
    </row>
    <row r="598" spans="2:13">
      <c r="B598" s="104" t="s">
        <v>893</v>
      </c>
      <c r="C598" s="4">
        <v>5</v>
      </c>
      <c r="D598" s="5">
        <f>C598/100*34/0.05</f>
        <v>34</v>
      </c>
      <c r="E598" s="11">
        <f>C598/100*1/0.05</f>
        <v>1</v>
      </c>
      <c r="F598" s="11">
        <f>C598/100*2.9/0.05</f>
        <v>2.8999999999999995</v>
      </c>
      <c r="G598" s="11">
        <f>C598/100*0.9/0.05</f>
        <v>0.9</v>
      </c>
      <c r="H598" s="11">
        <f t="shared" si="27"/>
        <v>0</v>
      </c>
      <c r="I598" s="70"/>
      <c r="J598" s="70"/>
      <c r="K598" s="70">
        <f>C598/100*0.538888/0.05</f>
        <v>0.53888800000000003</v>
      </c>
      <c r="L598" s="11">
        <f>C598/100*0/0.05</f>
        <v>0</v>
      </c>
      <c r="M598" s="3">
        <v>5</v>
      </c>
    </row>
    <row r="599" spans="2:13">
      <c r="B599" s="104" t="s">
        <v>392</v>
      </c>
      <c r="C599" s="4">
        <v>100</v>
      </c>
      <c r="D599" s="5">
        <f>C599/100*63</f>
        <v>63</v>
      </c>
      <c r="E599" s="11">
        <f>C599/100*13.9</f>
        <v>13.9</v>
      </c>
      <c r="F599" s="11">
        <f>C599/100*0.4</f>
        <v>0.4</v>
      </c>
      <c r="G599" s="11">
        <f>C599/100*0.1</f>
        <v>0.1</v>
      </c>
      <c r="H599" s="11">
        <f t="shared" si="27"/>
        <v>0</v>
      </c>
      <c r="I599" s="70"/>
      <c r="J599" s="70"/>
      <c r="K599" s="70"/>
      <c r="L599" s="70">
        <f>C599/100*0.8</f>
        <v>0.8</v>
      </c>
      <c r="M599" s="3">
        <v>3</v>
      </c>
    </row>
    <row r="600" spans="2:13">
      <c r="B600" s="104" t="s">
        <v>393</v>
      </c>
      <c r="C600" s="4">
        <v>100</v>
      </c>
      <c r="D600" s="5">
        <f>C600/100*69</f>
        <v>69</v>
      </c>
      <c r="E600" s="11">
        <f>C600/100*15</f>
        <v>15</v>
      </c>
      <c r="F600" s="11">
        <f>C600/100*0.6</f>
        <v>0.6</v>
      </c>
      <c r="G600" s="11">
        <f>C600/100*0.1</f>
        <v>0.1</v>
      </c>
      <c r="H600" s="11">
        <f t="shared" si="27"/>
        <v>0</v>
      </c>
      <c r="I600" s="70"/>
      <c r="J600" s="70"/>
      <c r="K600" s="70"/>
      <c r="L600" s="70">
        <f>C600/100*0.6</f>
        <v>0.6</v>
      </c>
      <c r="M600" s="3">
        <v>3</v>
      </c>
    </row>
    <row r="601" spans="2:13">
      <c r="B601" s="104" t="s">
        <v>898</v>
      </c>
      <c r="C601" s="4">
        <v>100</v>
      </c>
      <c r="D601" s="5">
        <f>C601/100*203</f>
        <v>203</v>
      </c>
      <c r="E601" s="11">
        <f>C601/100*6.24</f>
        <v>6.24</v>
      </c>
      <c r="F601" s="11">
        <f>C601/100*2.72</f>
        <v>2.72</v>
      </c>
      <c r="G601" s="11">
        <f>C601/100*38.02</f>
        <v>38.020000000000003</v>
      </c>
      <c r="H601" s="11">
        <f t="shared" si="27"/>
        <v>0</v>
      </c>
      <c r="I601" s="70"/>
      <c r="J601" s="70"/>
      <c r="K601" s="70">
        <f>C601/100*2.13</f>
        <v>2.13</v>
      </c>
      <c r="L601" s="11">
        <f>C601/100*0.9842584</f>
        <v>0.98425839999999998</v>
      </c>
      <c r="M601" s="19" t="s">
        <v>751</v>
      </c>
    </row>
    <row r="602" spans="2:13">
      <c r="B602" s="81" t="s">
        <v>1259</v>
      </c>
      <c r="C602" s="4">
        <v>100</v>
      </c>
      <c r="D602" s="5">
        <f>C602/100*158</f>
        <v>158</v>
      </c>
      <c r="E602" s="11">
        <f>C602/100*12.4</f>
        <v>12.4</v>
      </c>
      <c r="F602" s="11">
        <f>C602/100*11.2</f>
        <v>11.2</v>
      </c>
      <c r="G602" s="11">
        <v>1.8</v>
      </c>
      <c r="H602" s="11">
        <f t="shared" si="27"/>
        <v>0</v>
      </c>
      <c r="I602" s="70"/>
      <c r="J602" s="70"/>
      <c r="K602" s="70">
        <f>C602/100*0</f>
        <v>0</v>
      </c>
      <c r="L602" s="11">
        <f>C602/100*0</f>
        <v>0</v>
      </c>
      <c r="M602" s="19">
        <v>3</v>
      </c>
    </row>
    <row r="603" spans="2:13">
      <c r="B603" s="104" t="s">
        <v>394</v>
      </c>
      <c r="C603" s="4">
        <v>100</v>
      </c>
      <c r="D603" s="5">
        <f>C603/100*356</f>
        <v>356</v>
      </c>
      <c r="E603" s="11">
        <f>C603/100*6.1</f>
        <v>6.1</v>
      </c>
      <c r="F603" s="11">
        <f>C603/100*0.9</f>
        <v>0.9</v>
      </c>
      <c r="G603" s="11">
        <f>C603/100*77.1</f>
        <v>77.099999999999994</v>
      </c>
      <c r="H603" s="11">
        <f t="shared" si="27"/>
        <v>0</v>
      </c>
      <c r="I603" s="70">
        <f>C603/100*0</f>
        <v>0</v>
      </c>
      <c r="J603" s="70">
        <f>C603/100*0.5</f>
        <v>0.5</v>
      </c>
      <c r="K603" s="70">
        <f>C603/100*0.5</f>
        <v>0.5</v>
      </c>
      <c r="L603" s="70">
        <f>C603/100*0</f>
        <v>0</v>
      </c>
      <c r="M603" s="3">
        <v>1</v>
      </c>
    </row>
    <row r="604" spans="2:13">
      <c r="B604" s="104" t="s">
        <v>395</v>
      </c>
      <c r="C604" s="4">
        <v>100</v>
      </c>
      <c r="D604" s="5">
        <f>C604/100*189</f>
        <v>189</v>
      </c>
      <c r="E604" s="11">
        <f>C604/100*3.9</f>
        <v>3.9</v>
      </c>
      <c r="F604" s="11">
        <f>C604/100*0.4</f>
        <v>0.4</v>
      </c>
      <c r="G604" s="11">
        <f>C604/100*42.4</f>
        <v>42.4</v>
      </c>
      <c r="H604" s="11">
        <f t="shared" si="27"/>
        <v>0</v>
      </c>
      <c r="I604" s="70">
        <f>C604/100*0.1</f>
        <v>0.1</v>
      </c>
      <c r="J604" s="70">
        <f>C604/100*1.6</f>
        <v>1.6</v>
      </c>
      <c r="K604" s="70">
        <f>C604/100*1.7</f>
        <v>1.7</v>
      </c>
      <c r="L604" s="70">
        <f>C604/100*0</f>
        <v>0</v>
      </c>
      <c r="M604" s="3">
        <v>1</v>
      </c>
    </row>
    <row r="605" spans="2:13">
      <c r="B605" s="104" t="s">
        <v>847</v>
      </c>
      <c r="C605" s="4">
        <v>7.7</v>
      </c>
      <c r="D605" s="5">
        <f>C605/100*41/0.077</f>
        <v>41</v>
      </c>
      <c r="E605" s="11">
        <f>C605/100*0.4/0.077</f>
        <v>0.4</v>
      </c>
      <c r="F605" s="11">
        <f>C605/100*2.1/0.077</f>
        <v>2.1</v>
      </c>
      <c r="G605" s="11">
        <f>C605/100*5/0.077</f>
        <v>5</v>
      </c>
      <c r="H605" s="11">
        <f t="shared" si="27"/>
        <v>0</v>
      </c>
      <c r="I605" s="70"/>
      <c r="J605" s="70"/>
      <c r="K605" s="70"/>
      <c r="L605" s="11">
        <f>C605/100*0.0381318/0.077</f>
        <v>3.81318E-2</v>
      </c>
      <c r="M605" s="19" t="s">
        <v>751</v>
      </c>
    </row>
    <row r="606" spans="2:13">
      <c r="B606" s="104" t="s">
        <v>396</v>
      </c>
      <c r="C606" s="4">
        <v>100</v>
      </c>
      <c r="D606" s="5">
        <f>C606/100*344</f>
        <v>344</v>
      </c>
      <c r="E606" s="11">
        <f>C606/100*87.6</f>
        <v>87.6</v>
      </c>
      <c r="F606" s="11">
        <f>C606/100*0.3</f>
        <v>0.3</v>
      </c>
      <c r="G606" s="11">
        <f>C606/100*0</f>
        <v>0</v>
      </c>
      <c r="H606" s="11">
        <f t="shared" si="27"/>
        <v>0</v>
      </c>
      <c r="I606" s="70"/>
      <c r="J606" s="70"/>
      <c r="K606" s="70"/>
      <c r="L606" s="11">
        <f>C606/100*0.7</f>
        <v>0.7</v>
      </c>
      <c r="M606" s="19" t="s">
        <v>751</v>
      </c>
    </row>
    <row r="607" spans="2:13">
      <c r="B607" s="104" t="s">
        <v>397</v>
      </c>
      <c r="C607" s="4">
        <v>5</v>
      </c>
      <c r="D607" s="5">
        <f>C607/100*18/0.05</f>
        <v>18</v>
      </c>
      <c r="E607" s="11">
        <f>C607/100*4.4/0.05</f>
        <v>4.4000000000000004</v>
      </c>
      <c r="F607" s="11">
        <f>C607/100*0/0.05</f>
        <v>0</v>
      </c>
      <c r="G607" s="11">
        <f>C607/100*0.06/0.05</f>
        <v>0.06</v>
      </c>
      <c r="H607" s="11">
        <f t="shared" si="27"/>
        <v>0</v>
      </c>
      <c r="I607" s="70"/>
      <c r="J607" s="70"/>
      <c r="K607" s="70"/>
      <c r="L607" s="11">
        <f>C607/100*0.0483002/0.05</f>
        <v>4.8300200000000008E-2</v>
      </c>
      <c r="M607" s="19" t="s">
        <v>751</v>
      </c>
    </row>
    <row r="608" spans="2:13">
      <c r="B608" s="104" t="s">
        <v>1015</v>
      </c>
      <c r="C608" s="4">
        <v>100</v>
      </c>
      <c r="D608" s="5">
        <f>C608/100*17</f>
        <v>17</v>
      </c>
      <c r="E608" s="11">
        <f>C608/100*2</f>
        <v>2</v>
      </c>
      <c r="F608" s="11">
        <f>C608/100*0.1</f>
        <v>0.1</v>
      </c>
      <c r="G608" s="11">
        <f>C608/100*3.3</f>
        <v>3.3</v>
      </c>
      <c r="H608" s="11">
        <f t="shared" si="27"/>
        <v>0</v>
      </c>
      <c r="I608" s="70">
        <f>C608/100*0.4</f>
        <v>0.4</v>
      </c>
      <c r="J608" s="70">
        <f>C608/100*2.1</f>
        <v>2.1</v>
      </c>
      <c r="K608" s="70">
        <f>C608/100*2.5</f>
        <v>2.5</v>
      </c>
      <c r="L608" s="11">
        <f>C608/100*0</f>
        <v>0</v>
      </c>
      <c r="M608" s="3">
        <v>6</v>
      </c>
    </row>
    <row r="609" spans="2:13">
      <c r="B609" s="81" t="s">
        <v>1218</v>
      </c>
      <c r="C609" s="4">
        <v>100</v>
      </c>
      <c r="D609" s="5">
        <f>C609/100*64.25</f>
        <v>64.25</v>
      </c>
      <c r="E609" s="11">
        <f>C609/100*2.1</f>
        <v>2.1</v>
      </c>
      <c r="F609" s="11">
        <f>C609/100*0.05</f>
        <v>0.05</v>
      </c>
      <c r="G609" s="11">
        <f>C609/100*14.23</f>
        <v>14.23</v>
      </c>
      <c r="H609" s="11">
        <f t="shared" si="27"/>
        <v>0</v>
      </c>
      <c r="I609" s="70">
        <v>0.23</v>
      </c>
      <c r="J609" s="70">
        <f>C609/100*0.2</f>
        <v>0.2</v>
      </c>
      <c r="K609" s="70">
        <f>C609/100*0.43</f>
        <v>0.43</v>
      </c>
      <c r="L609" s="11">
        <f>C609/100*2.41</f>
        <v>2.41</v>
      </c>
      <c r="M609" s="19" t="s">
        <v>751</v>
      </c>
    </row>
    <row r="610" spans="2:13">
      <c r="B610" s="81" t="s">
        <v>1216</v>
      </c>
      <c r="C610" s="4">
        <v>100</v>
      </c>
      <c r="D610" s="5">
        <f>C610/100*70</f>
        <v>70</v>
      </c>
      <c r="E610" s="11">
        <f>C610/100*2.3</f>
        <v>2.2999999999999998</v>
      </c>
      <c r="F610" s="11">
        <f>C610/100*0</f>
        <v>0</v>
      </c>
      <c r="G610" s="11">
        <f>C610/100*15.3</f>
        <v>15.3</v>
      </c>
      <c r="H610" s="11">
        <f t="shared" si="27"/>
        <v>0</v>
      </c>
      <c r="I610" s="70">
        <f>C610/100*0.1</f>
        <v>0.1</v>
      </c>
      <c r="J610" s="70">
        <f>C610/100*0</f>
        <v>0</v>
      </c>
      <c r="K610" s="70">
        <f>C610/100*0.1</f>
        <v>0.1</v>
      </c>
      <c r="L610" s="11">
        <f>C610/100*0</f>
        <v>0</v>
      </c>
      <c r="M610" s="19" t="s">
        <v>751</v>
      </c>
    </row>
    <row r="611" spans="2:13">
      <c r="B611" s="104" t="s">
        <v>979</v>
      </c>
      <c r="C611" s="4">
        <v>100</v>
      </c>
      <c r="D611" s="5">
        <f>C611/100*335</f>
        <v>335</v>
      </c>
      <c r="E611" s="11">
        <f>C611/100*0.1</f>
        <v>0.1</v>
      </c>
      <c r="F611" s="11">
        <f>C611/100*0.1</f>
        <v>0.1</v>
      </c>
      <c r="G611" s="11">
        <f>C611/100*83.7</f>
        <v>83.7</v>
      </c>
      <c r="H611" s="11">
        <f t="shared" si="27"/>
        <v>0</v>
      </c>
      <c r="I611" s="70"/>
      <c r="J611" s="70"/>
      <c r="K611" s="70"/>
      <c r="L611" s="11">
        <f>C611/100*0.0124563</f>
        <v>1.24563E-2</v>
      </c>
      <c r="M611" s="19" t="s">
        <v>751</v>
      </c>
    </row>
    <row r="612" spans="2:13">
      <c r="B612" s="104" t="s">
        <v>978</v>
      </c>
      <c r="C612" s="4">
        <v>100</v>
      </c>
      <c r="D612" s="5">
        <f>C612/100*332</f>
        <v>332</v>
      </c>
      <c r="E612" s="11">
        <f>C612/100*0.1</f>
        <v>0.1</v>
      </c>
      <c r="F612" s="11">
        <f>C612/100*0.2</f>
        <v>0.2</v>
      </c>
      <c r="G612" s="11">
        <f>C612/100*82.4</f>
        <v>82.4</v>
      </c>
      <c r="H612" s="11">
        <f t="shared" si="27"/>
        <v>0</v>
      </c>
      <c r="I612" s="70"/>
      <c r="J612" s="70"/>
      <c r="K612" s="70">
        <f>C612/100*1</f>
        <v>1</v>
      </c>
      <c r="L612" s="11">
        <f>C612/100*0.022879</f>
        <v>2.2879E-2</v>
      </c>
      <c r="M612" s="19" t="s">
        <v>751</v>
      </c>
    </row>
    <row r="613" spans="2:13">
      <c r="B613" s="81" t="s">
        <v>1217</v>
      </c>
      <c r="C613" s="4">
        <v>100</v>
      </c>
      <c r="D613" s="5">
        <f>C613/100*45</f>
        <v>45</v>
      </c>
      <c r="E613" s="11">
        <f>C613/100*1.7</f>
        <v>1.7</v>
      </c>
      <c r="F613" s="11">
        <f>C613/100*0</f>
        <v>0</v>
      </c>
      <c r="G613" s="11">
        <f>C613/100*9.5</f>
        <v>9.5</v>
      </c>
      <c r="H613" s="11">
        <f t="shared" si="27"/>
        <v>0</v>
      </c>
      <c r="I613" s="70">
        <f>C613/100*0</f>
        <v>0</v>
      </c>
      <c r="J613" s="70">
        <f>C613/100*0</f>
        <v>0</v>
      </c>
      <c r="K613" s="70">
        <f>C613/100*0</f>
        <v>0</v>
      </c>
      <c r="L613" s="11">
        <f>C613/100*0</f>
        <v>0</v>
      </c>
      <c r="M613" s="19" t="s">
        <v>751</v>
      </c>
    </row>
    <row r="614" spans="2:13">
      <c r="B614" s="81" t="s">
        <v>1094</v>
      </c>
      <c r="C614" s="4">
        <v>100</v>
      </c>
      <c r="D614" s="5">
        <f>C614/100*338</f>
        <v>338</v>
      </c>
      <c r="E614" s="11">
        <f>C614/100*0.1</f>
        <v>0.1</v>
      </c>
      <c r="F614" s="11">
        <f>C614/100*0</f>
        <v>0</v>
      </c>
      <c r="G614" s="11">
        <f>C614/100*84.5</f>
        <v>84.5</v>
      </c>
      <c r="H614" s="11">
        <f t="shared" si="27"/>
        <v>0</v>
      </c>
      <c r="I614" s="70"/>
      <c r="J614" s="70"/>
      <c r="K614" s="70">
        <f>C614/100*0.2</f>
        <v>0.2</v>
      </c>
      <c r="L614" s="11">
        <f>C614/100*0.021608</f>
        <v>2.1607999999999999E-2</v>
      </c>
      <c r="M614" s="19" t="s">
        <v>751</v>
      </c>
    </row>
    <row r="615" spans="2:13">
      <c r="B615" s="81" t="s">
        <v>1219</v>
      </c>
      <c r="C615" s="4">
        <v>100</v>
      </c>
      <c r="D615" s="5">
        <f>C615/100*68.53</f>
        <v>68.53</v>
      </c>
      <c r="E615" s="11">
        <f>C615/100*2.05</f>
        <v>2.0499999999999998</v>
      </c>
      <c r="F615" s="11">
        <f>C615/100*0.01</f>
        <v>0.01</v>
      </c>
      <c r="G615" s="11">
        <f>C615/100*15.35</f>
        <v>15.35</v>
      </c>
      <c r="H615" s="11">
        <f t="shared" si="27"/>
        <v>0</v>
      </c>
      <c r="I615" s="70">
        <f>C615/100*0</f>
        <v>0</v>
      </c>
      <c r="J615" s="70">
        <f>C615/100*0.04</f>
        <v>0.04</v>
      </c>
      <c r="K615" s="70">
        <f>C615/100*0.15</f>
        <v>0.15</v>
      </c>
      <c r="L615" s="11">
        <f>C615/100*0</f>
        <v>0</v>
      </c>
      <c r="M615" s="19" t="s">
        <v>751</v>
      </c>
    </row>
    <row r="616" spans="2:13">
      <c r="B616" s="81" t="s">
        <v>1225</v>
      </c>
      <c r="C616" s="4">
        <v>100</v>
      </c>
      <c r="D616" s="5">
        <f>C616/100*45.72</f>
        <v>45.72</v>
      </c>
      <c r="E616" s="11">
        <f>C616/100*0.99</f>
        <v>0.99</v>
      </c>
      <c r="F616" s="11">
        <f>C616/100*0.09</f>
        <v>0.09</v>
      </c>
      <c r="G616" s="11">
        <f>C616/100*11.37</f>
        <v>11.37</v>
      </c>
      <c r="H616" s="11">
        <f t="shared" si="27"/>
        <v>0</v>
      </c>
      <c r="I616" s="70">
        <f>C616/100*0.18</f>
        <v>0.18</v>
      </c>
      <c r="J616" s="70">
        <f>C616/100*0.27</f>
        <v>0.27</v>
      </c>
      <c r="K616" s="70">
        <f>C616/100*0.57</f>
        <v>0.56999999999999995</v>
      </c>
      <c r="L616" s="11">
        <f>C616/100*0</f>
        <v>0</v>
      </c>
      <c r="M616" s="19" t="s">
        <v>751</v>
      </c>
    </row>
    <row r="617" spans="2:13">
      <c r="B617" s="104" t="s">
        <v>398</v>
      </c>
      <c r="C617" s="4">
        <v>100</v>
      </c>
      <c r="D617" s="5">
        <f>C617/100*15</f>
        <v>15</v>
      </c>
      <c r="E617" s="11">
        <f>C617/100*1</f>
        <v>1</v>
      </c>
      <c r="F617" s="11">
        <f>C617/100*0.1</f>
        <v>0.1</v>
      </c>
      <c r="G617" s="11">
        <f>C617/100*3.2</f>
        <v>3.2</v>
      </c>
      <c r="H617" s="11">
        <f t="shared" si="27"/>
        <v>0</v>
      </c>
      <c r="I617" s="70">
        <f>C617/100*0.3</f>
        <v>0.3</v>
      </c>
      <c r="J617" s="70">
        <f>C617/100*1.2</f>
        <v>1.2</v>
      </c>
      <c r="K617" s="70">
        <f>C617/100*1.5</f>
        <v>1.5</v>
      </c>
      <c r="L617" s="70">
        <f>C617/100*0.1</f>
        <v>0.1</v>
      </c>
      <c r="M617" s="3">
        <v>6</v>
      </c>
    </row>
    <row r="618" spans="2:13">
      <c r="B618" s="81" t="s">
        <v>1208</v>
      </c>
      <c r="C618" s="4">
        <v>17</v>
      </c>
      <c r="D618" s="5">
        <f>C618/100*69/0.17</f>
        <v>69</v>
      </c>
      <c r="E618" s="11">
        <f>C618/100*2/0.17</f>
        <v>2</v>
      </c>
      <c r="F618" s="11">
        <f>C618/100*1.8/0.17</f>
        <v>1.8000000000000003</v>
      </c>
      <c r="G618" s="11">
        <f>C618/100*11.2/0.17</f>
        <v>11.2</v>
      </c>
      <c r="H618" s="11">
        <f t="shared" si="27"/>
        <v>0</v>
      </c>
      <c r="I618" s="70"/>
      <c r="J618" s="70"/>
      <c r="K618" s="70"/>
      <c r="L618" s="11">
        <f>C618/100*0.35128126/0.17</f>
        <v>0.35128125999999998</v>
      </c>
      <c r="M618" s="19" t="s">
        <v>751</v>
      </c>
    </row>
    <row r="619" spans="2:13">
      <c r="B619" s="81" t="s">
        <v>1209</v>
      </c>
      <c r="C619" s="4">
        <v>17</v>
      </c>
      <c r="D619" s="5">
        <f>C619/100*82/0.17</f>
        <v>82</v>
      </c>
      <c r="E619" s="11">
        <f>C619/100*2.7/0.17</f>
        <v>2.7</v>
      </c>
      <c r="F619" s="11">
        <f>C619/100*2.7/0.17</f>
        <v>2.7</v>
      </c>
      <c r="G619" s="11">
        <f>C619/100*11.6/0.17</f>
        <v>11.6</v>
      </c>
      <c r="H619" s="11">
        <f t="shared" si="27"/>
        <v>0</v>
      </c>
      <c r="I619" s="70"/>
      <c r="J619" s="70"/>
      <c r="K619" s="70"/>
      <c r="L619" s="11">
        <f>C619/100*0.210996/0.17</f>
        <v>0.21099600000000002</v>
      </c>
      <c r="M619" s="19" t="s">
        <v>751</v>
      </c>
    </row>
    <row r="620" spans="2:13">
      <c r="B620" s="82" t="s">
        <v>399</v>
      </c>
      <c r="C620" s="4">
        <v>26</v>
      </c>
      <c r="D620" s="5">
        <f>C620/100*149/0.26</f>
        <v>149</v>
      </c>
      <c r="E620" s="11">
        <f>C620/100*4/0.26</f>
        <v>4</v>
      </c>
      <c r="F620" s="11">
        <f>C620/100*6.6/0.26</f>
        <v>6.6</v>
      </c>
      <c r="G620" s="11">
        <f>C620/100*18.3/0.26</f>
        <v>18.3</v>
      </c>
      <c r="H620" s="11">
        <f t="shared" si="27"/>
        <v>0</v>
      </c>
      <c r="I620" s="70"/>
      <c r="J620" s="70"/>
      <c r="K620" s="70"/>
      <c r="L620" s="11">
        <f>C620/100*0.3075966/0.26</f>
        <v>0.3075966</v>
      </c>
      <c r="M620" s="19" t="s">
        <v>751</v>
      </c>
    </row>
    <row r="621" spans="2:13">
      <c r="B621" s="81" t="s">
        <v>1210</v>
      </c>
      <c r="C621" s="4">
        <v>17</v>
      </c>
      <c r="D621" s="5">
        <f>C621/100*71/0.17</f>
        <v>71</v>
      </c>
      <c r="E621" s="11">
        <f>C621/100*2.1/0.17</f>
        <v>2.1</v>
      </c>
      <c r="F621" s="11">
        <f>C621/100*2/0.17</f>
        <v>2</v>
      </c>
      <c r="G621" s="11">
        <f>C621/100*11.2/0.17</f>
        <v>11.2</v>
      </c>
      <c r="H621" s="11">
        <f t="shared" si="27"/>
        <v>0</v>
      </c>
      <c r="I621" s="70"/>
      <c r="J621" s="70"/>
      <c r="K621" s="70"/>
      <c r="L621" s="11">
        <f>C621/100*0.3126808/0.17</f>
        <v>0.31268079999999998</v>
      </c>
      <c r="M621" s="19" t="s">
        <v>751</v>
      </c>
    </row>
    <row r="622" spans="2:13">
      <c r="B622" s="108" t="s">
        <v>400</v>
      </c>
      <c r="C622" s="4">
        <v>17</v>
      </c>
      <c r="D622" s="5">
        <f>C622/100*69/0.17</f>
        <v>69</v>
      </c>
      <c r="E622" s="11">
        <f>C622/100*2/0.17</f>
        <v>2</v>
      </c>
      <c r="F622" s="11">
        <f>C622/100*1.8/0.17</f>
        <v>1.8000000000000003</v>
      </c>
      <c r="G622" s="11">
        <f>C622/100*11.2/0.17</f>
        <v>11.2</v>
      </c>
      <c r="H622" s="11">
        <f t="shared" si="27"/>
        <v>0</v>
      </c>
      <c r="I622" s="70"/>
      <c r="J622" s="70"/>
      <c r="K622" s="70"/>
      <c r="L622" s="11">
        <f>C622/100*0.3508126/0.17</f>
        <v>0.35081259999999997</v>
      </c>
      <c r="M622" s="19" t="s">
        <v>751</v>
      </c>
    </row>
    <row r="623" spans="2:13">
      <c r="B623" s="108" t="s">
        <v>401</v>
      </c>
      <c r="C623" s="4">
        <v>17</v>
      </c>
      <c r="D623" s="5">
        <f>C623/100*82/0.17</f>
        <v>82</v>
      </c>
      <c r="E623" s="11">
        <f>C623/100*2.7/0.17</f>
        <v>2.7</v>
      </c>
      <c r="F623" s="11">
        <f>C623/100*2.7/0.17</f>
        <v>2.7</v>
      </c>
      <c r="G623" s="11">
        <f>C623/100*11.6/0.17</f>
        <v>11.6</v>
      </c>
      <c r="H623" s="11">
        <f t="shared" si="27"/>
        <v>0</v>
      </c>
      <c r="I623" s="70"/>
      <c r="J623" s="70"/>
      <c r="K623" s="70"/>
      <c r="L623" s="11">
        <f>C623/100*0.210996/0.17</f>
        <v>0.21099600000000002</v>
      </c>
      <c r="M623" s="19" t="s">
        <v>751</v>
      </c>
    </row>
    <row r="624" spans="2:13">
      <c r="B624" s="108" t="s">
        <v>402</v>
      </c>
      <c r="C624" s="4">
        <v>17</v>
      </c>
      <c r="D624" s="5">
        <f>C624/100*71/0.17</f>
        <v>71</v>
      </c>
      <c r="E624" s="11">
        <f>C624/100*2.1/0.17</f>
        <v>2.1</v>
      </c>
      <c r="F624" s="11">
        <f>C624/100*2/0.17</f>
        <v>2</v>
      </c>
      <c r="G624" s="11">
        <f>C624/100*11.2/0.17</f>
        <v>11.2</v>
      </c>
      <c r="H624" s="11">
        <f t="shared" si="27"/>
        <v>0</v>
      </c>
      <c r="I624" s="70"/>
      <c r="J624" s="70"/>
      <c r="K624" s="70"/>
      <c r="L624" s="11">
        <f>C624/100*0.3126808/0.17</f>
        <v>0.31268079999999998</v>
      </c>
      <c r="M624" s="19" t="s">
        <v>751</v>
      </c>
    </row>
    <row r="625" spans="2:13">
      <c r="B625" s="104" t="s">
        <v>403</v>
      </c>
      <c r="C625" s="4">
        <v>10.4</v>
      </c>
      <c r="D625" s="5">
        <f>C625/100*49/0.104</f>
        <v>49</v>
      </c>
      <c r="E625" s="11">
        <f>C625/100*1.6/0.104</f>
        <v>1.6000000000000003</v>
      </c>
      <c r="F625" s="11">
        <f>C625/100*1.5/0.104</f>
        <v>1.5000000000000004</v>
      </c>
      <c r="G625" s="11">
        <f>C625/100*7.3/0.104</f>
        <v>7.3000000000000016</v>
      </c>
      <c r="H625" s="11">
        <f t="shared" si="27"/>
        <v>0</v>
      </c>
      <c r="I625" s="70"/>
      <c r="J625" s="70"/>
      <c r="K625" s="70"/>
      <c r="L625" s="11">
        <f>C625/100*0.2542121/0.104</f>
        <v>0.25421210000000005</v>
      </c>
      <c r="M625" s="19" t="s">
        <v>751</v>
      </c>
    </row>
    <row r="626" spans="2:13">
      <c r="B626" s="104" t="s">
        <v>404</v>
      </c>
      <c r="C626" s="4">
        <v>100</v>
      </c>
      <c r="D626" s="5">
        <f>C626/100*22</f>
        <v>22</v>
      </c>
      <c r="E626" s="11">
        <f>C626/100*0.4</f>
        <v>0.4</v>
      </c>
      <c r="F626" s="11">
        <f>C626/100*0.1</f>
        <v>0.1</v>
      </c>
      <c r="G626" s="11">
        <f>C626/100*5.4</f>
        <v>5.4</v>
      </c>
      <c r="H626" s="11">
        <f t="shared" ref="H626:H657" si="28">C626/100*0</f>
        <v>0</v>
      </c>
      <c r="I626" s="70"/>
      <c r="J626" s="70"/>
      <c r="K626" s="70">
        <f>C626/100*0.9</f>
        <v>0.9</v>
      </c>
      <c r="L626" s="11">
        <f>C626/100*1</f>
        <v>1</v>
      </c>
      <c r="M626" s="19" t="s">
        <v>751</v>
      </c>
    </row>
    <row r="627" spans="2:13">
      <c r="B627" s="104" t="s">
        <v>1067</v>
      </c>
      <c r="C627" s="4">
        <v>100</v>
      </c>
      <c r="D627" s="5">
        <f>C627/100*109</f>
        <v>109</v>
      </c>
      <c r="E627" s="11">
        <f>C627/100*18.1</f>
        <v>18.100000000000001</v>
      </c>
      <c r="F627" s="11">
        <f>C627/100*3.5</f>
        <v>3.5</v>
      </c>
      <c r="G627" s="11">
        <f>C627/100*0</f>
        <v>0</v>
      </c>
      <c r="H627" s="11">
        <f t="shared" si="28"/>
        <v>0</v>
      </c>
      <c r="I627" s="70"/>
      <c r="J627" s="70"/>
      <c r="K627" s="70"/>
      <c r="L627" s="11">
        <f>C627/100*0.190659</f>
        <v>0.190659</v>
      </c>
      <c r="M627" s="3">
        <v>3</v>
      </c>
    </row>
    <row r="628" spans="2:13">
      <c r="B628" s="104" t="s">
        <v>986</v>
      </c>
      <c r="C628" s="4">
        <v>100</v>
      </c>
      <c r="D628" s="5">
        <f>C628/100*129</f>
        <v>129</v>
      </c>
      <c r="E628" s="11">
        <f>C628/100*6.6</f>
        <v>6.6</v>
      </c>
      <c r="F628" s="11">
        <f>C628/100*0</f>
        <v>0</v>
      </c>
      <c r="G628" s="11">
        <f>C628/100*25.7</f>
        <v>25.7</v>
      </c>
      <c r="H628" s="11">
        <f t="shared" si="28"/>
        <v>0</v>
      </c>
      <c r="I628" s="70"/>
      <c r="J628" s="70"/>
      <c r="K628" s="70"/>
      <c r="L628" s="11">
        <f>C628/100*16.371269</f>
        <v>16.371269000000002</v>
      </c>
      <c r="M628" s="19" t="s">
        <v>750</v>
      </c>
    </row>
    <row r="629" spans="2:13">
      <c r="B629" s="104" t="s">
        <v>405</v>
      </c>
      <c r="C629" s="4">
        <v>100</v>
      </c>
      <c r="D629" s="5">
        <f>C629/100*334</f>
        <v>334</v>
      </c>
      <c r="E629" s="11">
        <f>C629/100*9</f>
        <v>9</v>
      </c>
      <c r="F629" s="11">
        <f>C629/100*1.9</f>
        <v>1.9</v>
      </c>
      <c r="G629" s="11">
        <f>C629/100*70.1</f>
        <v>70.099999999999994</v>
      </c>
      <c r="H629" s="11">
        <f t="shared" si="28"/>
        <v>0</v>
      </c>
      <c r="I629" s="70"/>
      <c r="J629" s="70"/>
      <c r="K629" s="70">
        <f>C629/100*2.43</f>
        <v>2.4300000000000002</v>
      </c>
      <c r="L629" s="70">
        <f>C629/100*5.8468783</f>
        <v>5.8468783000000002</v>
      </c>
      <c r="M629" s="3">
        <v>1</v>
      </c>
    </row>
    <row r="630" spans="2:13">
      <c r="B630" s="104" t="s">
        <v>811</v>
      </c>
      <c r="C630" s="4">
        <v>100</v>
      </c>
      <c r="D630" s="5">
        <f>C630/100*132</f>
        <v>132</v>
      </c>
      <c r="E630" s="11">
        <f>C630/100*0.8</f>
        <v>0.8</v>
      </c>
      <c r="F630" s="11">
        <f>C630/100*0.1</f>
        <v>0.1</v>
      </c>
      <c r="G630" s="11">
        <f>C630/100*30.8</f>
        <v>30.8</v>
      </c>
      <c r="H630" s="11">
        <f t="shared" si="28"/>
        <v>0</v>
      </c>
      <c r="I630" s="70"/>
      <c r="J630" s="70"/>
      <c r="K630" s="70">
        <f>C630/100*1</f>
        <v>1</v>
      </c>
      <c r="L630" s="11">
        <f>C630/100*5.8468783</f>
        <v>5.8468783000000002</v>
      </c>
      <c r="M630" s="19" t="s">
        <v>750</v>
      </c>
    </row>
    <row r="631" spans="2:13">
      <c r="B631" s="104" t="s">
        <v>406</v>
      </c>
      <c r="C631" s="4">
        <v>18</v>
      </c>
      <c r="D631" s="5">
        <f>C631/100*23/0.18</f>
        <v>23</v>
      </c>
      <c r="E631" s="11">
        <f>C631/100*0.1/0.18</f>
        <v>9.9999999999999992E-2</v>
      </c>
      <c r="F631" s="11">
        <f>C631/100*0/0.18</f>
        <v>0</v>
      </c>
      <c r="G631" s="11">
        <f>C631/100*5.5/0.18</f>
        <v>5.5</v>
      </c>
      <c r="H631" s="11">
        <f t="shared" si="28"/>
        <v>0</v>
      </c>
      <c r="I631" s="70"/>
      <c r="J631" s="70"/>
      <c r="K631" s="70"/>
      <c r="L631" s="70">
        <f>C631/100*0.9761744/0.18</f>
        <v>0.9761744</v>
      </c>
      <c r="M631" s="19" t="s">
        <v>750</v>
      </c>
    </row>
    <row r="632" spans="2:13">
      <c r="B632" s="104" t="s">
        <v>927</v>
      </c>
      <c r="C632" s="4">
        <v>18</v>
      </c>
      <c r="D632" s="5">
        <f>C632/100*23/0.18</f>
        <v>23</v>
      </c>
      <c r="E632" s="11">
        <f>C632/100*0.1/0.18</f>
        <v>9.9999999999999992E-2</v>
      </c>
      <c r="F632" s="11">
        <f>C632/100*0/0.18</f>
        <v>0</v>
      </c>
      <c r="G632" s="11">
        <f>C632/100*5.5/0.18</f>
        <v>5.5</v>
      </c>
      <c r="H632" s="11">
        <f t="shared" si="28"/>
        <v>0</v>
      </c>
      <c r="I632" s="70"/>
      <c r="J632" s="70"/>
      <c r="K632" s="70"/>
      <c r="L632" s="11">
        <f>C632/100*0.9761744/0.18</f>
        <v>0.9761744</v>
      </c>
      <c r="M632" s="19" t="s">
        <v>750</v>
      </c>
    </row>
    <row r="633" spans="2:13">
      <c r="B633" s="104" t="s">
        <v>407</v>
      </c>
      <c r="C633" s="4">
        <v>18</v>
      </c>
      <c r="D633" s="5">
        <f>C633/100*26/0.18</f>
        <v>26</v>
      </c>
      <c r="E633" s="11">
        <f>C633/100*0.3/0.18</f>
        <v>0.3</v>
      </c>
      <c r="F633" s="11">
        <f>C633/100*0/0.18</f>
        <v>0</v>
      </c>
      <c r="G633" s="11">
        <f>C633/100*6.1/0.18</f>
        <v>6.1</v>
      </c>
      <c r="H633" s="11">
        <f t="shared" si="28"/>
        <v>0</v>
      </c>
      <c r="I633" s="70"/>
      <c r="J633" s="70"/>
      <c r="K633" s="70"/>
      <c r="L633" s="11">
        <f>C633/100*0.7626363/0.18</f>
        <v>0.76263630000000004</v>
      </c>
      <c r="M633" s="19" t="s">
        <v>750</v>
      </c>
    </row>
    <row r="634" spans="2:13">
      <c r="B634" s="82" t="s">
        <v>408</v>
      </c>
      <c r="C634" s="4">
        <v>100</v>
      </c>
      <c r="D634" s="5">
        <f>C634/100*329</f>
        <v>329</v>
      </c>
      <c r="E634" s="11">
        <f>C634/100*11.3</f>
        <v>11.3</v>
      </c>
      <c r="F634" s="11">
        <f>C634/100*28.8</f>
        <v>28.8</v>
      </c>
      <c r="G634" s="11">
        <f>C634/100*6.2</f>
        <v>6.2</v>
      </c>
      <c r="H634" s="11">
        <f t="shared" si="28"/>
        <v>0</v>
      </c>
      <c r="I634" s="70"/>
      <c r="J634" s="70"/>
      <c r="K634" s="70"/>
      <c r="L634" s="11">
        <f>C634/100*2.4633152</f>
        <v>2.4633151999999998</v>
      </c>
      <c r="M634" s="3">
        <v>3</v>
      </c>
    </row>
    <row r="635" spans="2:13">
      <c r="B635" s="81" t="s">
        <v>409</v>
      </c>
      <c r="C635" s="4">
        <v>100</v>
      </c>
      <c r="D635" s="5">
        <f>C635/100*311</f>
        <v>311</v>
      </c>
      <c r="E635" s="11">
        <f>C635/100*12.1</f>
        <v>12.1</v>
      </c>
      <c r="F635" s="11">
        <f>C635/100*27.8</f>
        <v>27.8</v>
      </c>
      <c r="G635" s="11">
        <f>C635/100*3</f>
        <v>3</v>
      </c>
      <c r="H635" s="11">
        <f t="shared" si="28"/>
        <v>0</v>
      </c>
      <c r="I635" s="70"/>
      <c r="J635" s="70"/>
      <c r="K635" s="70"/>
      <c r="L635" s="70">
        <f>C635/100*2.1353816</f>
        <v>2.1353816000000001</v>
      </c>
      <c r="M635" s="3">
        <v>3</v>
      </c>
    </row>
    <row r="636" spans="2:13">
      <c r="B636" s="104" t="s">
        <v>410</v>
      </c>
      <c r="C636" s="4">
        <v>75</v>
      </c>
      <c r="D636" s="5">
        <f>C636/100*89/0.75</f>
        <v>89</v>
      </c>
      <c r="E636" s="11">
        <f>C636/100*5.8/0.75</f>
        <v>5.8</v>
      </c>
      <c r="F636" s="11">
        <f>C636/100*2.5/0.75</f>
        <v>2.5</v>
      </c>
      <c r="G636" s="11">
        <f>C636/100*10.7/0.75</f>
        <v>10.699999999999998</v>
      </c>
      <c r="H636" s="11">
        <f t="shared" si="28"/>
        <v>0</v>
      </c>
      <c r="I636" s="70"/>
      <c r="J636" s="70"/>
      <c r="K636" s="70"/>
      <c r="L636" s="70">
        <f>C636/100*1.4/0.75</f>
        <v>1.3999999999999997</v>
      </c>
      <c r="M636" s="3">
        <v>3</v>
      </c>
    </row>
    <row r="637" spans="2:13">
      <c r="B637" s="104" t="s">
        <v>411</v>
      </c>
      <c r="C637" s="4">
        <v>100</v>
      </c>
      <c r="D637" s="5">
        <f>C637/100*332</f>
        <v>332</v>
      </c>
      <c r="E637" s="11">
        <f>C637/100*8.7</f>
        <v>8.6999999999999993</v>
      </c>
      <c r="F637" s="11">
        <f>C637/100*2</f>
        <v>2</v>
      </c>
      <c r="G637" s="11">
        <f>C637/100*69.7</f>
        <v>69.7</v>
      </c>
      <c r="H637" s="11">
        <f t="shared" si="28"/>
        <v>0</v>
      </c>
      <c r="I637" s="70"/>
      <c r="J637" s="70"/>
      <c r="K637" s="70"/>
      <c r="L637" s="11">
        <f>C637/100*5.5926662</f>
        <v>5.5926662</v>
      </c>
      <c r="M637" s="3">
        <v>1</v>
      </c>
    </row>
    <row r="638" spans="2:13">
      <c r="B638" s="104" t="s">
        <v>1222</v>
      </c>
      <c r="C638" s="4">
        <v>100</v>
      </c>
      <c r="D638" s="5">
        <f>C638/100*332</f>
        <v>332</v>
      </c>
      <c r="E638" s="11">
        <f>C638/100*8.7</f>
        <v>8.6999999999999993</v>
      </c>
      <c r="F638" s="11">
        <f>C638/100*2</f>
        <v>2</v>
      </c>
      <c r="G638" s="11">
        <f>C638/100*69.7</f>
        <v>69.7</v>
      </c>
      <c r="H638" s="11">
        <f t="shared" si="28"/>
        <v>0</v>
      </c>
      <c r="I638" s="70"/>
      <c r="J638" s="70"/>
      <c r="K638" s="70"/>
      <c r="L638" s="11">
        <f>C638/100*5.5926662*0.0981818</f>
        <v>0.54909803431516002</v>
      </c>
      <c r="M638" s="3">
        <v>1</v>
      </c>
    </row>
    <row r="639" spans="2:13" ht="14.25">
      <c r="B639" s="104" t="s">
        <v>877</v>
      </c>
      <c r="C639" s="244">
        <v>100</v>
      </c>
      <c r="D639" s="5">
        <f>C639/100*113.54</f>
        <v>113.54</v>
      </c>
      <c r="E639" s="11">
        <f>C639/100*2.98</f>
        <v>2.98</v>
      </c>
      <c r="F639" s="11">
        <f>C639/100*0.68</f>
        <v>0.68</v>
      </c>
      <c r="G639" s="11">
        <f>C639/100*23.84</f>
        <v>23.84</v>
      </c>
      <c r="H639" s="11">
        <f t="shared" si="28"/>
        <v>0</v>
      </c>
      <c r="I639" s="70"/>
      <c r="J639" s="70"/>
      <c r="K639" s="70"/>
      <c r="L639" s="11">
        <f>C639/100*0.1830327</f>
        <v>0.18303269999999999</v>
      </c>
      <c r="M639" s="19">
        <v>1</v>
      </c>
    </row>
    <row r="640" spans="2:13">
      <c r="B640" s="81" t="s">
        <v>1133</v>
      </c>
      <c r="C640" s="4">
        <v>100</v>
      </c>
      <c r="D640" s="5">
        <f>C640/100*40</f>
        <v>40</v>
      </c>
      <c r="E640" s="11">
        <f>C640/100*1.4</f>
        <v>1.4</v>
      </c>
      <c r="F640" s="11">
        <f>C640/100*0.9</f>
        <v>0.9</v>
      </c>
      <c r="G640" s="11">
        <f>C640/100*8.7</f>
        <v>8.6999999999999993</v>
      </c>
      <c r="H640" s="11">
        <f t="shared" si="28"/>
        <v>0</v>
      </c>
      <c r="I640" s="70"/>
      <c r="J640" s="70"/>
      <c r="K640" s="70"/>
      <c r="L640" s="11">
        <f>C640/100*3.3047573</f>
        <v>3.3047572999999999</v>
      </c>
      <c r="M640" s="19" t="s">
        <v>750</v>
      </c>
    </row>
    <row r="641" spans="2:13">
      <c r="B641" s="81" t="s">
        <v>1131</v>
      </c>
      <c r="C641" s="4">
        <v>100</v>
      </c>
      <c r="D641" s="5">
        <f>C641/100*342</f>
        <v>342</v>
      </c>
      <c r="E641" s="11">
        <f>C641/100*8.6</f>
        <v>8.6</v>
      </c>
      <c r="F641" s="11">
        <f>C641/100*1.2</f>
        <v>1.2</v>
      </c>
      <c r="G641" s="11">
        <f>C641/100*74.3</f>
        <v>74.3</v>
      </c>
      <c r="H641" s="11">
        <f t="shared" si="28"/>
        <v>0</v>
      </c>
      <c r="I641" s="70"/>
      <c r="J641" s="70"/>
      <c r="K641" s="70">
        <f>C641/100*0.2</f>
        <v>0.2</v>
      </c>
      <c r="L641" s="11">
        <f>C641/100*2.7963331</f>
        <v>2.7963331</v>
      </c>
      <c r="M641" s="3">
        <v>1</v>
      </c>
    </row>
    <row r="642" spans="2:13">
      <c r="B642" s="81" t="s">
        <v>1132</v>
      </c>
      <c r="C642" s="4">
        <v>100</v>
      </c>
      <c r="D642" s="5">
        <f>C642/100*342</f>
        <v>342</v>
      </c>
      <c r="E642" s="11">
        <f>C642/100*8.6</f>
        <v>8.6</v>
      </c>
      <c r="F642" s="11">
        <f>C642/100*1.2</f>
        <v>1.2</v>
      </c>
      <c r="G642" s="11">
        <f>C642/100*74.3</f>
        <v>74.3</v>
      </c>
      <c r="H642" s="11">
        <f t="shared" si="28"/>
        <v>0</v>
      </c>
      <c r="I642" s="70"/>
      <c r="J642" s="70"/>
      <c r="K642" s="70">
        <f>C642/100*0.2</f>
        <v>0.2</v>
      </c>
      <c r="L642" s="11">
        <f>C642/100*0.33</f>
        <v>0.33</v>
      </c>
      <c r="M642" s="3">
        <v>1</v>
      </c>
    </row>
    <row r="643" spans="2:13">
      <c r="B643" s="104" t="s">
        <v>412</v>
      </c>
      <c r="C643" s="4">
        <v>100</v>
      </c>
      <c r="D643" s="5">
        <f>C643/100*281</f>
        <v>281</v>
      </c>
      <c r="E643" s="11">
        <f>C643/100*10.2</f>
        <v>10.199999999999999</v>
      </c>
      <c r="F643" s="11">
        <f>C643/100*1.4</f>
        <v>1.4</v>
      </c>
      <c r="G643" s="11">
        <f>C643/100*57</f>
        <v>57</v>
      </c>
      <c r="H643" s="11">
        <f t="shared" si="28"/>
        <v>0</v>
      </c>
      <c r="I643" s="70"/>
      <c r="J643" s="70"/>
      <c r="K643" s="70"/>
      <c r="L643" s="11">
        <f>C643/100*1.6777998</f>
        <v>1.6777998000000001</v>
      </c>
      <c r="M643" s="3">
        <v>1</v>
      </c>
    </row>
    <row r="644" spans="2:13">
      <c r="B644" s="104" t="s">
        <v>413</v>
      </c>
      <c r="C644" s="4">
        <v>100</v>
      </c>
      <c r="D644" s="5">
        <f>C644/100*279</f>
        <v>279</v>
      </c>
      <c r="E644" s="11">
        <f>C644/100*11.2</f>
        <v>11.2</v>
      </c>
      <c r="F644" s="11">
        <f>C644/100*1.3</f>
        <v>1.3</v>
      </c>
      <c r="G644" s="11">
        <f>C644/100*55.7</f>
        <v>55.7</v>
      </c>
      <c r="H644" s="11">
        <f t="shared" si="28"/>
        <v>0</v>
      </c>
      <c r="I644" s="70"/>
      <c r="J644" s="70"/>
      <c r="K644" s="70">
        <f>C644/100*0.15</f>
        <v>0.15</v>
      </c>
      <c r="L644" s="11">
        <f>C644/100*1.8303271</f>
        <v>1.8303271000000001</v>
      </c>
      <c r="M644" s="3">
        <v>1</v>
      </c>
    </row>
    <row r="645" spans="2:13">
      <c r="B645" s="104" t="s">
        <v>1227</v>
      </c>
      <c r="C645" s="4">
        <v>100</v>
      </c>
      <c r="D645" s="5">
        <f>C645/100*279</f>
        <v>279</v>
      </c>
      <c r="E645" s="11">
        <f>C645/100*11.2</f>
        <v>11.2</v>
      </c>
      <c r="F645" s="11">
        <f>C645/100*1.3</f>
        <v>1.3</v>
      </c>
      <c r="G645" s="11">
        <f>C645/100*55.7</f>
        <v>55.7</v>
      </c>
      <c r="H645" s="11">
        <f t="shared" si="28"/>
        <v>0</v>
      </c>
      <c r="I645" s="70"/>
      <c r="J645" s="70"/>
      <c r="K645" s="70">
        <f>C645/100*0.15</f>
        <v>0.15</v>
      </c>
      <c r="L645" s="11">
        <f>C645/100*1.8303271*0.2</f>
        <v>0.36606542000000003</v>
      </c>
      <c r="M645" s="3">
        <v>1</v>
      </c>
    </row>
    <row r="646" spans="2:13">
      <c r="B646" s="110" t="s">
        <v>1138</v>
      </c>
      <c r="C646" s="4">
        <v>100</v>
      </c>
      <c r="D646" s="5">
        <f>C646/100*139.81</f>
        <v>139.81</v>
      </c>
      <c r="E646" s="11">
        <f>C646/100*5.61</f>
        <v>5.61</v>
      </c>
      <c r="F646" s="11">
        <f>C646/100*0.65</f>
        <v>0.65</v>
      </c>
      <c r="G646" s="11">
        <f>C646/100*27.91</f>
        <v>27.91</v>
      </c>
      <c r="H646" s="11">
        <f t="shared" si="28"/>
        <v>0</v>
      </c>
      <c r="I646" s="70"/>
      <c r="J646" s="70"/>
      <c r="K646" s="70">
        <f>C646/100*0.08</f>
        <v>0.08</v>
      </c>
      <c r="L646" s="11">
        <f>C646/100*0.18</f>
        <v>0.18</v>
      </c>
      <c r="M646" s="3">
        <v>1</v>
      </c>
    </row>
    <row r="647" spans="2:13">
      <c r="B647" s="110" t="s">
        <v>795</v>
      </c>
      <c r="C647" s="4">
        <v>100</v>
      </c>
      <c r="D647" s="5">
        <f>C647/100*284</f>
        <v>284</v>
      </c>
      <c r="E647" s="11">
        <f>C647/100*10.8</f>
        <v>10.8</v>
      </c>
      <c r="F647" s="11">
        <f>C647/100*0.8</f>
        <v>0.8</v>
      </c>
      <c r="G647" s="11">
        <f>C647/100*58.3</f>
        <v>58.3</v>
      </c>
      <c r="H647" s="11">
        <f t="shared" si="28"/>
        <v>0</v>
      </c>
      <c r="I647" s="70">
        <f>C647/100*1</f>
        <v>1</v>
      </c>
      <c r="J647" s="70">
        <f>C647/100*1.7</f>
        <v>1.7</v>
      </c>
      <c r="K647" s="70">
        <f>C647/100*2.7</f>
        <v>2.7</v>
      </c>
      <c r="L647" s="11">
        <f>C647/100*1.5506938</f>
        <v>1.5506937999999999</v>
      </c>
      <c r="M647" s="3">
        <v>1</v>
      </c>
    </row>
    <row r="648" spans="2:13">
      <c r="B648" s="104" t="s">
        <v>1118</v>
      </c>
      <c r="C648" s="4">
        <v>100</v>
      </c>
      <c r="D648" s="5">
        <f>C648/100*139.82</f>
        <v>139.82</v>
      </c>
      <c r="E648" s="11">
        <f>C648/100*5.32</f>
        <v>5.32</v>
      </c>
      <c r="F648" s="11">
        <f>C648/100*0.39</f>
        <v>0.39</v>
      </c>
      <c r="G648" s="11">
        <f>C648/100*28.7</f>
        <v>28.7</v>
      </c>
      <c r="H648" s="11">
        <f t="shared" si="28"/>
        <v>0</v>
      </c>
      <c r="I648" s="70">
        <f>C648/100*0.49</f>
        <v>0.49</v>
      </c>
      <c r="J648" s="70">
        <f>C648/100*0.84</f>
        <v>0.84</v>
      </c>
      <c r="K648" s="70">
        <f>C648/100*1.33</f>
        <v>1.33</v>
      </c>
      <c r="L648" s="11">
        <f>C648/100*0.31</f>
        <v>0.31</v>
      </c>
      <c r="M648" s="3">
        <v>1</v>
      </c>
    </row>
    <row r="649" spans="2:13">
      <c r="B649" s="104" t="s">
        <v>414</v>
      </c>
      <c r="C649" s="4">
        <v>100</v>
      </c>
      <c r="D649" s="5">
        <f>C649/100*114</f>
        <v>114</v>
      </c>
      <c r="E649" s="11">
        <f>C649/100*4.8</f>
        <v>4.8</v>
      </c>
      <c r="F649" s="11">
        <f>C649/100*0.7</f>
        <v>0.7</v>
      </c>
      <c r="G649" s="11">
        <f>C649/100*22.1</f>
        <v>22.1</v>
      </c>
      <c r="H649" s="11">
        <f t="shared" si="28"/>
        <v>0</v>
      </c>
      <c r="I649" s="70"/>
      <c r="J649" s="70"/>
      <c r="K649" s="70">
        <f>C649/100*1.5</f>
        <v>1.5</v>
      </c>
      <c r="L649" s="11">
        <f>C649/100*0.127106</f>
        <v>0.127106</v>
      </c>
      <c r="M649" s="3">
        <v>1</v>
      </c>
    </row>
    <row r="650" spans="2:13">
      <c r="B650" s="104" t="s">
        <v>415</v>
      </c>
      <c r="C650" s="4">
        <v>100</v>
      </c>
      <c r="D650" s="5">
        <f>C650/100*284</f>
        <v>284</v>
      </c>
      <c r="E650" s="11">
        <f>C650/100*11</f>
        <v>11</v>
      </c>
      <c r="F650" s="11">
        <f>C650/100*2.3</f>
        <v>2.2999999999999998</v>
      </c>
      <c r="G650" s="11">
        <f>C650/100*54.9</f>
        <v>54.9</v>
      </c>
      <c r="H650" s="11">
        <f t="shared" si="28"/>
        <v>0</v>
      </c>
      <c r="I650" s="70"/>
      <c r="J650" s="70"/>
      <c r="K650" s="70"/>
      <c r="L650" s="11">
        <f>C650/100*2.4912785</f>
        <v>2.4912785</v>
      </c>
      <c r="M650" s="3">
        <v>1</v>
      </c>
    </row>
    <row r="651" spans="2:13">
      <c r="B651" s="104" t="s">
        <v>416</v>
      </c>
      <c r="C651" s="4">
        <v>100</v>
      </c>
      <c r="D651" s="5">
        <f>C651/100*344.6</f>
        <v>344.6</v>
      </c>
      <c r="E651" s="11">
        <f>C651/100*10.5</f>
        <v>10.5</v>
      </c>
      <c r="F651" s="11">
        <f>C651/100*3</f>
        <v>3</v>
      </c>
      <c r="G651" s="11">
        <f>C651/100*78.7</f>
        <v>78.7</v>
      </c>
      <c r="H651" s="11">
        <f t="shared" si="28"/>
        <v>0</v>
      </c>
      <c r="I651" s="70"/>
      <c r="J651" s="70"/>
      <c r="K651" s="70"/>
      <c r="L651" s="11">
        <f>C651/100*0.0050842</f>
        <v>5.0841999999999997E-3</v>
      </c>
      <c r="M651" s="3">
        <v>1</v>
      </c>
    </row>
    <row r="652" spans="2:13">
      <c r="B652" s="81" t="s">
        <v>417</v>
      </c>
      <c r="C652" s="4">
        <v>100</v>
      </c>
      <c r="D652" s="5">
        <f>C652/100*274</f>
        <v>274</v>
      </c>
      <c r="E652" s="11">
        <f>C652/100*9.8</f>
        <v>9.8000000000000007</v>
      </c>
      <c r="F652" s="11">
        <f>C652/100*1.9</f>
        <v>1.9</v>
      </c>
      <c r="G652" s="11">
        <f>C652/100*54.5</f>
        <v>54.5</v>
      </c>
      <c r="H652" s="11">
        <f t="shared" si="28"/>
        <v>0</v>
      </c>
      <c r="I652" s="70">
        <f>C652/100*1</f>
        <v>1</v>
      </c>
      <c r="J652" s="70">
        <f>C652/100*1.7</f>
        <v>1.7</v>
      </c>
      <c r="K652" s="70">
        <f>C652/100*2.7</f>
        <v>2.7</v>
      </c>
      <c r="L652" s="70">
        <f>C652/100*0</f>
        <v>0</v>
      </c>
      <c r="M652" s="3">
        <v>1</v>
      </c>
    </row>
    <row r="653" spans="2:13">
      <c r="B653" s="104" t="s">
        <v>418</v>
      </c>
      <c r="C653" s="4">
        <v>120</v>
      </c>
      <c r="D653" s="5">
        <f>C653/100*330/1.2</f>
        <v>330</v>
      </c>
      <c r="E653" s="11">
        <f>C653/100*15.3/1.2</f>
        <v>15.3</v>
      </c>
      <c r="F653" s="11">
        <f>C653/100*2.1/1.2</f>
        <v>2.1</v>
      </c>
      <c r="G653" s="11">
        <f>C653/100*62.4/1.2</f>
        <v>62.4</v>
      </c>
      <c r="H653" s="11">
        <f t="shared" si="28"/>
        <v>0</v>
      </c>
      <c r="I653" s="70"/>
      <c r="J653" s="70"/>
      <c r="K653" s="70">
        <f>C653/100*3.24/1.2</f>
        <v>3.24</v>
      </c>
      <c r="L653" s="11">
        <f>C653/100*2.7963331/1.2</f>
        <v>2.7963331</v>
      </c>
      <c r="M653" s="3">
        <v>1</v>
      </c>
    </row>
    <row r="654" spans="2:13">
      <c r="B654" s="104" t="s">
        <v>1041</v>
      </c>
      <c r="C654" s="4">
        <v>120</v>
      </c>
      <c r="D654" s="5">
        <f>C654/100*330/1.2</f>
        <v>330</v>
      </c>
      <c r="E654" s="11">
        <f>C654/100*15/1.2</f>
        <v>15</v>
      </c>
      <c r="F654" s="11">
        <f>C654/100*2.3/1.2</f>
        <v>2.2999999999999998</v>
      </c>
      <c r="G654" s="11">
        <f>C654/100*62.3/1.2</f>
        <v>62.3</v>
      </c>
      <c r="H654" s="11">
        <f t="shared" si="28"/>
        <v>0</v>
      </c>
      <c r="I654" s="70"/>
      <c r="J654" s="70"/>
      <c r="K654" s="70"/>
      <c r="L654" s="11">
        <f>C654/100*2.7963331/1.2</f>
        <v>2.7963331</v>
      </c>
      <c r="M654" s="3">
        <v>1</v>
      </c>
    </row>
    <row r="655" spans="2:13">
      <c r="B655" s="81" t="s">
        <v>419</v>
      </c>
      <c r="C655" s="4">
        <v>100</v>
      </c>
      <c r="D655" s="5">
        <f>C655/100*132</f>
        <v>132</v>
      </c>
      <c r="E655" s="11">
        <f>C655/100*4.8</f>
        <v>4.8</v>
      </c>
      <c r="F655" s="11">
        <f>C655/100*1</f>
        <v>1</v>
      </c>
      <c r="G655" s="11">
        <f>C655/100*26</f>
        <v>26</v>
      </c>
      <c r="H655" s="11">
        <f t="shared" si="28"/>
        <v>0</v>
      </c>
      <c r="I655" s="70">
        <f>C655/100*0.5</f>
        <v>0.5</v>
      </c>
      <c r="J655" s="70">
        <f>C655/100*1.5</f>
        <v>1.5</v>
      </c>
      <c r="K655" s="70">
        <f>C655/100*2</f>
        <v>2</v>
      </c>
      <c r="L655" s="70">
        <f>C655/100*0.00508042</f>
        <v>5.0804200000000004E-3</v>
      </c>
      <c r="M655" s="3">
        <v>1</v>
      </c>
    </row>
    <row r="656" spans="2:13">
      <c r="B656" s="104" t="s">
        <v>420</v>
      </c>
      <c r="C656" s="4">
        <v>100</v>
      </c>
      <c r="D656" s="5">
        <f>C656/100*344</f>
        <v>344</v>
      </c>
      <c r="E656" s="11">
        <f>C656/100*14</f>
        <v>14</v>
      </c>
      <c r="F656" s="11">
        <f>C656/100*2.3</f>
        <v>2.2999999999999998</v>
      </c>
      <c r="G656" s="11">
        <f>C656/100*66.7</f>
        <v>66.7</v>
      </c>
      <c r="H656" s="11">
        <f t="shared" si="28"/>
        <v>0</v>
      </c>
      <c r="I656" s="70">
        <f>C656/100*1.6</f>
        <v>1.6</v>
      </c>
      <c r="J656" s="70">
        <f>C656/100*2.1</f>
        <v>2.1</v>
      </c>
      <c r="K656" s="70">
        <f>C656/100*3.7</f>
        <v>3.7</v>
      </c>
      <c r="L656" s="70">
        <f>C656/100*2.2</f>
        <v>2.2000000000000002</v>
      </c>
      <c r="M656" s="3">
        <v>1</v>
      </c>
    </row>
    <row r="657" spans="2:13">
      <c r="B657" s="104" t="s">
        <v>421</v>
      </c>
      <c r="C657" s="4">
        <v>100</v>
      </c>
      <c r="D657" s="5">
        <f>C657/100*114</f>
        <v>114</v>
      </c>
      <c r="E657" s="11">
        <f>C657/100*4.8</f>
        <v>4.8</v>
      </c>
      <c r="F657" s="11">
        <f>C657/100*0.7</f>
        <v>0.7</v>
      </c>
      <c r="G657" s="11">
        <f>C657/100*22.1</f>
        <v>22.1</v>
      </c>
      <c r="H657" s="11">
        <f t="shared" si="28"/>
        <v>0</v>
      </c>
      <c r="I657" s="70">
        <f>C657/100*0.5</f>
        <v>0.5</v>
      </c>
      <c r="J657" s="70">
        <f>C657/100*1</f>
        <v>1</v>
      </c>
      <c r="K657" s="70">
        <f>C657/100*1.5</f>
        <v>1.5</v>
      </c>
      <c r="L657" s="70">
        <f>C657/100*0.1</f>
        <v>0.1</v>
      </c>
      <c r="M657" s="3">
        <v>1</v>
      </c>
    </row>
    <row r="658" spans="2:13">
      <c r="B658" s="104" t="s">
        <v>859</v>
      </c>
      <c r="C658" s="4">
        <v>100</v>
      </c>
      <c r="D658" s="5">
        <f>C658/100*348</f>
        <v>348</v>
      </c>
      <c r="E658" s="11">
        <f>C658/100*12.7</f>
        <v>12.7</v>
      </c>
      <c r="F658" s="11">
        <f>C658/100*2.3</f>
        <v>2.2999999999999998</v>
      </c>
      <c r="G658" s="11">
        <f>C658/100*69.1</f>
        <v>69.099999999999994</v>
      </c>
      <c r="H658" s="11">
        <f t="shared" ref="H658:H663" si="29">C658/100*0</f>
        <v>0</v>
      </c>
      <c r="I658" s="70">
        <f>C658/100*1.6</f>
        <v>1.6</v>
      </c>
      <c r="J658" s="70">
        <f>C658/100*2.1</f>
        <v>2.1</v>
      </c>
      <c r="K658" s="70">
        <f>C658/100*3.7</f>
        <v>3.7</v>
      </c>
      <c r="L658" s="70">
        <f>C658/100*0.4067393</f>
        <v>0.40673930000000003</v>
      </c>
      <c r="M658" s="3">
        <v>1</v>
      </c>
    </row>
    <row r="659" spans="2:13">
      <c r="B659" s="104" t="s">
        <v>901</v>
      </c>
      <c r="C659" s="4">
        <v>100</v>
      </c>
      <c r="D659" s="5">
        <f>C659/100*285</f>
        <v>285</v>
      </c>
      <c r="E659" s="11">
        <f>C659/100*9.7</f>
        <v>9.6999999999999993</v>
      </c>
      <c r="F659" s="11">
        <f>C659/100*1.2</f>
        <v>1.2</v>
      </c>
      <c r="G659" s="11">
        <f>C659/100*58.8</f>
        <v>58.8</v>
      </c>
      <c r="H659" s="11">
        <f t="shared" si="29"/>
        <v>0</v>
      </c>
      <c r="I659" s="70"/>
      <c r="J659" s="70"/>
      <c r="K659" s="70"/>
      <c r="L659" s="11">
        <f>C659/100*1.5506938</f>
        <v>1.5506937999999999</v>
      </c>
      <c r="M659" s="3">
        <v>1</v>
      </c>
    </row>
    <row r="660" spans="2:13">
      <c r="B660" s="104" t="s">
        <v>1063</v>
      </c>
      <c r="C660" s="4">
        <v>180</v>
      </c>
      <c r="D660" s="5">
        <f>C660/100*250/1.8</f>
        <v>250</v>
      </c>
      <c r="E660" s="11">
        <f>C660/100*12.6/1.8</f>
        <v>12.6</v>
      </c>
      <c r="F660" s="11">
        <f>C660/100*1.8/1.8</f>
        <v>1.8</v>
      </c>
      <c r="G660" s="11">
        <f>C660/100*45.9/1.8</f>
        <v>45.9</v>
      </c>
      <c r="H660" s="11">
        <f t="shared" si="29"/>
        <v>0</v>
      </c>
      <c r="I660" s="70"/>
      <c r="J660" s="70"/>
      <c r="K660" s="70">
        <f>C660/100*0.1/1.8</f>
        <v>0.1</v>
      </c>
      <c r="L660" s="11">
        <f>C660/100*0.2542121/1.8</f>
        <v>0.2542121</v>
      </c>
      <c r="M660" s="3">
        <v>1</v>
      </c>
    </row>
    <row r="661" spans="2:13">
      <c r="B661" s="104" t="s">
        <v>926</v>
      </c>
      <c r="C661" s="4">
        <v>180</v>
      </c>
      <c r="D661" s="5">
        <f>C661/100*230/1.8</f>
        <v>230</v>
      </c>
      <c r="E661" s="11">
        <f>C661/100*14/1.8</f>
        <v>14</v>
      </c>
      <c r="F661" s="11">
        <f>C661/100*2/1.8</f>
        <v>2</v>
      </c>
      <c r="G661" s="11">
        <f>C661/100*38.9/1.8</f>
        <v>38.9</v>
      </c>
      <c r="H661" s="11">
        <f t="shared" si="29"/>
        <v>0</v>
      </c>
      <c r="I661" s="70"/>
      <c r="J661" s="70"/>
      <c r="K661" s="70">
        <f>C661/100*3.6/1.8</f>
        <v>3.6</v>
      </c>
      <c r="L661" s="11">
        <f>C661/100*0.3889445/1.8</f>
        <v>0.38894450000000003</v>
      </c>
      <c r="M661" s="3">
        <v>1</v>
      </c>
    </row>
    <row r="662" spans="2:13">
      <c r="B662" s="104" t="s">
        <v>422</v>
      </c>
      <c r="C662" s="4">
        <v>260</v>
      </c>
      <c r="D662" s="5">
        <f>C662/100*296/2.6</f>
        <v>296</v>
      </c>
      <c r="E662" s="11">
        <f>C662/100*12.48/2.6</f>
        <v>12.48</v>
      </c>
      <c r="F662" s="11">
        <f>C662/100*1.82/2.6</f>
        <v>1.82</v>
      </c>
      <c r="G662" s="11">
        <f>C662/100*57.46/2.6</f>
        <v>57.46</v>
      </c>
      <c r="H662" s="11">
        <f t="shared" si="29"/>
        <v>0</v>
      </c>
      <c r="I662" s="70"/>
      <c r="J662" s="70"/>
      <c r="K662" s="70">
        <f>C662/100*3.9/2.6</f>
        <v>3.9</v>
      </c>
      <c r="L662" s="11">
        <f>C662/100*0.26/2.6</f>
        <v>0.26</v>
      </c>
      <c r="M662" s="3">
        <v>1</v>
      </c>
    </row>
    <row r="663" spans="2:13">
      <c r="B663" s="104" t="s">
        <v>423</v>
      </c>
      <c r="C663" s="4">
        <v>100</v>
      </c>
      <c r="D663" s="5">
        <f>C663/100*40</f>
        <v>40</v>
      </c>
      <c r="E663" s="11">
        <f>C663/100*2</f>
        <v>2</v>
      </c>
      <c r="F663" s="11">
        <f>C663/100*0</f>
        <v>0</v>
      </c>
      <c r="G663" s="11">
        <f>C663/100*8.4</f>
        <v>8.4</v>
      </c>
      <c r="H663" s="11">
        <f t="shared" si="29"/>
        <v>0</v>
      </c>
      <c r="I663" s="70"/>
      <c r="J663" s="70"/>
      <c r="K663" s="70"/>
      <c r="L663" s="11">
        <f>C663/100*3.8</f>
        <v>3.8</v>
      </c>
      <c r="M663" s="19" t="s">
        <v>750</v>
      </c>
    </row>
    <row r="664" spans="2:13">
      <c r="B664" s="81" t="s">
        <v>1180</v>
      </c>
      <c r="C664" s="4">
        <v>100</v>
      </c>
      <c r="D664" s="5">
        <f>C664/100*217</f>
        <v>217</v>
      </c>
      <c r="E664" s="11">
        <f>C664/100*16.3</f>
        <v>16.3</v>
      </c>
      <c r="F664" s="11">
        <f>C664/100*13.9</f>
        <v>13.9</v>
      </c>
      <c r="G664" s="11">
        <f>C664/100*6.6</f>
        <v>6.6</v>
      </c>
      <c r="H664" s="11">
        <f>C664/100*70</f>
        <v>70</v>
      </c>
      <c r="I664" s="70">
        <f>C664/100*0</f>
        <v>0</v>
      </c>
      <c r="J664" s="70">
        <f>C664/100*0</f>
        <v>0</v>
      </c>
      <c r="K664" s="70">
        <f>C664/100*0</f>
        <v>0</v>
      </c>
      <c r="L664" s="11">
        <f>C664/100*1.1</f>
        <v>1.1000000000000001</v>
      </c>
      <c r="M664" s="3">
        <v>3</v>
      </c>
    </row>
    <row r="665" spans="2:13">
      <c r="B665" s="104" t="s">
        <v>424</v>
      </c>
      <c r="C665" s="4">
        <v>100</v>
      </c>
      <c r="D665" s="5">
        <f>C665/100*146</f>
        <v>146</v>
      </c>
      <c r="E665" s="11">
        <f>C665/100*3.8</f>
        <v>3.8</v>
      </c>
      <c r="F665" s="11">
        <f>C665/100*5.6</f>
        <v>5.6</v>
      </c>
      <c r="G665" s="11">
        <f>C665/100*20.1</f>
        <v>20.100000000000001</v>
      </c>
      <c r="H665" s="11">
        <f>C665/100*0</f>
        <v>0</v>
      </c>
      <c r="I665" s="70"/>
      <c r="J665" s="70"/>
      <c r="K665" s="70"/>
      <c r="L665" s="70">
        <f>C665/100*0.2</f>
        <v>0.2</v>
      </c>
      <c r="M665" s="19" t="s">
        <v>751</v>
      </c>
    </row>
    <row r="666" spans="2:13">
      <c r="B666" s="104" t="s">
        <v>425</v>
      </c>
      <c r="C666" s="4">
        <v>100</v>
      </c>
      <c r="D666" s="5">
        <f>C666/100*194</f>
        <v>194</v>
      </c>
      <c r="E666" s="11">
        <f>C666/100*21.7</f>
        <v>21.7</v>
      </c>
      <c r="F666" s="11">
        <f>C666/100*10.8</f>
        <v>10.8</v>
      </c>
      <c r="G666" s="11">
        <f>C666/100*0.1</f>
        <v>0.1</v>
      </c>
      <c r="H666" s="11">
        <f>C666/100*72</f>
        <v>72</v>
      </c>
      <c r="I666" s="70"/>
      <c r="J666" s="70"/>
      <c r="K666" s="70"/>
      <c r="L666" s="70">
        <f>C666/100*0.1</f>
        <v>0.1</v>
      </c>
      <c r="M666" s="3">
        <v>3</v>
      </c>
    </row>
    <row r="667" spans="2:13">
      <c r="B667" s="104" t="s">
        <v>426</v>
      </c>
      <c r="C667" s="4">
        <v>100</v>
      </c>
      <c r="D667" s="5">
        <f>C667/100*226</f>
        <v>226</v>
      </c>
      <c r="E667" s="11">
        <f>C667/100*23.1</f>
        <v>23.1</v>
      </c>
      <c r="F667" s="11">
        <f>C667/100*13.6</f>
        <v>13.6</v>
      </c>
      <c r="G667" s="11">
        <f>C667/100*0.1</f>
        <v>0.1</v>
      </c>
      <c r="H667" s="11">
        <f>C667/100*93</f>
        <v>93</v>
      </c>
      <c r="I667" s="70"/>
      <c r="J667" s="70"/>
      <c r="K667" s="70"/>
      <c r="L667" s="70">
        <f>C667/100*0.1</f>
        <v>0.1</v>
      </c>
      <c r="M667" s="3">
        <v>3</v>
      </c>
    </row>
    <row r="668" spans="2:13">
      <c r="B668" s="104" t="s">
        <v>427</v>
      </c>
      <c r="C668" s="4">
        <v>100</v>
      </c>
      <c r="D668" s="5">
        <f>C668/100*475</f>
        <v>475</v>
      </c>
      <c r="E668" s="11">
        <f>C668/100*12.4</f>
        <v>12.4</v>
      </c>
      <c r="F668" s="11">
        <f>C668/100*18.1</f>
        <v>18.100000000000001</v>
      </c>
      <c r="G668" s="11">
        <f>C668/100*65.6</f>
        <v>65.599999999999994</v>
      </c>
      <c r="H668" s="11">
        <f t="shared" ref="H668:H687" si="30">C668/100*0</f>
        <v>0</v>
      </c>
      <c r="I668" s="70"/>
      <c r="J668" s="70"/>
      <c r="K668" s="70"/>
      <c r="L668" s="11">
        <f>C668/100*1.2863132</f>
        <v>1.2863131999999999</v>
      </c>
      <c r="M668" s="19" t="s">
        <v>751</v>
      </c>
    </row>
    <row r="669" spans="2:13">
      <c r="B669" s="81" t="s">
        <v>428</v>
      </c>
      <c r="C669" s="4">
        <v>100</v>
      </c>
      <c r="D669" s="5">
        <f>C669/100*18</f>
        <v>18</v>
      </c>
      <c r="E669" s="11">
        <f>C669/100*0.5</f>
        <v>0.5</v>
      </c>
      <c r="F669" s="11">
        <f t="shared" ref="F669:F674" si="31">C669/100*0.1</f>
        <v>0.1</v>
      </c>
      <c r="G669" s="11">
        <f>C669/100*4.1</f>
        <v>4.0999999999999996</v>
      </c>
      <c r="H669" s="11">
        <f t="shared" si="30"/>
        <v>0</v>
      </c>
      <c r="I669" s="70">
        <f>C669/100*0.5</f>
        <v>0.5</v>
      </c>
      <c r="J669" s="70">
        <f>C669/100*0.9</f>
        <v>0.9</v>
      </c>
      <c r="K669" s="70">
        <f>C669/100*1.4</f>
        <v>1.4</v>
      </c>
      <c r="L669" s="70">
        <f>C669/100*0</f>
        <v>0</v>
      </c>
      <c r="M669" s="3">
        <v>6</v>
      </c>
    </row>
    <row r="670" spans="2:13">
      <c r="B670" s="81" t="s">
        <v>429</v>
      </c>
      <c r="C670" s="4">
        <v>100</v>
      </c>
      <c r="D670" s="5">
        <f>C670/100*18</f>
        <v>18</v>
      </c>
      <c r="E670" s="11">
        <f>C670/100*0.4</f>
        <v>0.4</v>
      </c>
      <c r="F670" s="11">
        <f t="shared" si="31"/>
        <v>0.1</v>
      </c>
      <c r="G670" s="11">
        <f>C670/100*4.1</f>
        <v>4.0999999999999996</v>
      </c>
      <c r="H670" s="11">
        <f t="shared" si="30"/>
        <v>0</v>
      </c>
      <c r="I670" s="70">
        <f>C670/100*0.5</f>
        <v>0.5</v>
      </c>
      <c r="J670" s="70">
        <f>C670/100*0.8</f>
        <v>0.8</v>
      </c>
      <c r="K670" s="70">
        <f>C670/100*1.3</f>
        <v>1.3</v>
      </c>
      <c r="L670" s="70">
        <f>C670/100*0</f>
        <v>0</v>
      </c>
      <c r="M670" s="3">
        <v>6</v>
      </c>
    </row>
    <row r="671" spans="2:13">
      <c r="B671" s="104" t="s">
        <v>430</v>
      </c>
      <c r="C671" s="4">
        <v>100</v>
      </c>
      <c r="D671" s="5">
        <f>C671/100*18</f>
        <v>18</v>
      </c>
      <c r="E671" s="11">
        <f>C671/100*0.5</f>
        <v>0.5</v>
      </c>
      <c r="F671" s="11">
        <f t="shared" si="31"/>
        <v>0.1</v>
      </c>
      <c r="G671" s="11">
        <f>C671/100*4</f>
        <v>4</v>
      </c>
      <c r="H671" s="11">
        <f t="shared" si="30"/>
        <v>0</v>
      </c>
      <c r="I671" s="70">
        <f>C671/100*0.8</f>
        <v>0.8</v>
      </c>
      <c r="J671" s="70">
        <f>C671/100*0.9</f>
        <v>0.9</v>
      </c>
      <c r="K671" s="70">
        <f>C671/100*1.7</f>
        <v>1.7</v>
      </c>
      <c r="L671" s="11">
        <f>C671/100*0</f>
        <v>0</v>
      </c>
      <c r="M671" s="3">
        <v>6</v>
      </c>
    </row>
    <row r="672" spans="2:13">
      <c r="B672" s="82" t="s">
        <v>431</v>
      </c>
      <c r="C672" s="4">
        <v>100</v>
      </c>
      <c r="D672" s="5">
        <f>C672/100*57</f>
        <v>57</v>
      </c>
      <c r="E672" s="11">
        <f>C672/100*0.9</f>
        <v>0.9</v>
      </c>
      <c r="F672" s="11">
        <f t="shared" si="31"/>
        <v>0.1</v>
      </c>
      <c r="G672" s="11">
        <f>C672/100*14</f>
        <v>14</v>
      </c>
      <c r="H672" s="11">
        <f t="shared" si="30"/>
        <v>0</v>
      </c>
      <c r="I672" s="70">
        <f>C672/100*0.7</f>
        <v>0.7</v>
      </c>
      <c r="J672" s="70">
        <f>C672/100*1.1</f>
        <v>1.1000000000000001</v>
      </c>
      <c r="K672" s="70">
        <f>C672/100*1.8</f>
        <v>1.8</v>
      </c>
      <c r="L672" s="11">
        <f>C672/100*3.0505452</f>
        <v>3.0505452000000002</v>
      </c>
      <c r="M672" s="3">
        <v>6</v>
      </c>
    </row>
    <row r="673" spans="2:13">
      <c r="B673" s="104" t="s">
        <v>432</v>
      </c>
      <c r="C673" s="4">
        <v>100</v>
      </c>
      <c r="D673" s="5">
        <f>C673/100*25</f>
        <v>25</v>
      </c>
      <c r="E673" s="11">
        <f>C673/100*2.2</f>
        <v>2.2000000000000002</v>
      </c>
      <c r="F673" s="11">
        <f t="shared" si="31"/>
        <v>0.1</v>
      </c>
      <c r="G673" s="11">
        <f>C673/100*5.3</f>
        <v>5.3</v>
      </c>
      <c r="H673" s="11">
        <f t="shared" si="30"/>
        <v>0</v>
      </c>
      <c r="I673" s="70">
        <f>C673/100*0.8</f>
        <v>0.8</v>
      </c>
      <c r="J673" s="70">
        <f>C673/100*3.2</f>
        <v>3.2</v>
      </c>
      <c r="K673" s="70">
        <f>C673/100*4</f>
        <v>4</v>
      </c>
      <c r="L673" s="70">
        <f>C673/100*0.1</f>
        <v>0.1</v>
      </c>
      <c r="M673" s="3">
        <v>6</v>
      </c>
    </row>
    <row r="674" spans="2:13">
      <c r="B674" s="104" t="s">
        <v>433</v>
      </c>
      <c r="C674" s="4">
        <v>100</v>
      </c>
      <c r="D674" s="5">
        <f>C674/100*25</f>
        <v>25</v>
      </c>
      <c r="E674" s="11">
        <f>C674/100*2.2</f>
        <v>2.2000000000000002</v>
      </c>
      <c r="F674" s="11">
        <f t="shared" si="31"/>
        <v>0.1</v>
      </c>
      <c r="G674" s="11">
        <f>C674/100*5.4</f>
        <v>5.4</v>
      </c>
      <c r="H674" s="11">
        <f t="shared" si="30"/>
        <v>0</v>
      </c>
      <c r="I674" s="70">
        <f>C674/100*0.8</f>
        <v>0.8</v>
      </c>
      <c r="J674" s="70">
        <f>C674/100*2.8</f>
        <v>2.8</v>
      </c>
      <c r="K674" s="70">
        <f>C674/100*3.6</f>
        <v>3.6</v>
      </c>
      <c r="L674" s="70">
        <f>C674/100*0.1</f>
        <v>0.1</v>
      </c>
      <c r="M674" s="3">
        <v>6</v>
      </c>
    </row>
    <row r="675" spans="2:13">
      <c r="B675" s="81" t="s">
        <v>434</v>
      </c>
      <c r="C675" s="12">
        <v>100</v>
      </c>
      <c r="D675" s="5">
        <f>C675/100*417</f>
        <v>417</v>
      </c>
      <c r="E675" s="11">
        <f>C675/100*35.3</f>
        <v>35.299999999999997</v>
      </c>
      <c r="F675" s="11">
        <f>C675/100*19</f>
        <v>19</v>
      </c>
      <c r="G675" s="11">
        <f>C675/100*28.2</f>
        <v>28.2</v>
      </c>
      <c r="H675" s="11">
        <f t="shared" si="30"/>
        <v>0</v>
      </c>
      <c r="I675" s="70">
        <f>C675/100*1.8</f>
        <v>1.8</v>
      </c>
      <c r="J675" s="70">
        <f>C675/100*15.3</f>
        <v>15.3</v>
      </c>
      <c r="K675" s="70">
        <f>C675/100*17.1</f>
        <v>17.100000000000001</v>
      </c>
      <c r="L675" s="70">
        <f>C675/100*0</f>
        <v>0</v>
      </c>
      <c r="M675" s="3">
        <v>3</v>
      </c>
    </row>
    <row r="676" spans="2:13">
      <c r="B676" s="81" t="s">
        <v>435</v>
      </c>
      <c r="C676" s="12">
        <v>100</v>
      </c>
      <c r="D676" s="5">
        <f>C676/100*180</f>
        <v>180</v>
      </c>
      <c r="E676" s="11">
        <f>C676/100*16</f>
        <v>16</v>
      </c>
      <c r="F676" s="11">
        <f>C676/100*9</f>
        <v>9</v>
      </c>
      <c r="G676" s="11">
        <f>C676/100*9.7</f>
        <v>9.6999999999999993</v>
      </c>
      <c r="H676" s="11">
        <f t="shared" si="30"/>
        <v>0</v>
      </c>
      <c r="I676" s="70">
        <f>C676/100*0.9</f>
        <v>0.9</v>
      </c>
      <c r="J676" s="70">
        <f>C676/100*6.1</f>
        <v>6.1</v>
      </c>
      <c r="K676" s="70">
        <f>C676/100*7</f>
        <v>7</v>
      </c>
      <c r="L676" s="70">
        <f>C676/100*0</f>
        <v>0</v>
      </c>
      <c r="M676" s="3">
        <v>3</v>
      </c>
    </row>
    <row r="677" spans="2:13">
      <c r="B677" s="104" t="s">
        <v>1014</v>
      </c>
      <c r="C677" s="4">
        <v>100</v>
      </c>
      <c r="D677" s="5">
        <f>C677/100*205</f>
        <v>205</v>
      </c>
      <c r="E677" s="11">
        <f>C677/100*16.6</f>
        <v>16.600000000000001</v>
      </c>
      <c r="F677" s="11">
        <f>C677/100*9.8</f>
        <v>9.8000000000000007</v>
      </c>
      <c r="G677" s="11">
        <f>C677/100*13.8</f>
        <v>13.8</v>
      </c>
      <c r="H677" s="11">
        <f t="shared" si="30"/>
        <v>0</v>
      </c>
      <c r="I677" s="70"/>
      <c r="J677" s="70"/>
      <c r="K677" s="70">
        <f>C677/100*8.8</f>
        <v>8.8000000000000007</v>
      </c>
      <c r="L677" s="11">
        <f>C677/100*0.6</f>
        <v>0.6</v>
      </c>
      <c r="M677" s="3">
        <v>3</v>
      </c>
    </row>
    <row r="678" spans="2:13">
      <c r="B678" s="81" t="s">
        <v>1091</v>
      </c>
      <c r="C678" s="4">
        <v>100</v>
      </c>
      <c r="D678" s="5">
        <f>C678/100*143</f>
        <v>143</v>
      </c>
      <c r="E678" s="11">
        <f>C678/100*12.5</f>
        <v>12.5</v>
      </c>
      <c r="F678" s="11">
        <f>C678/100*6.9</f>
        <v>6.9</v>
      </c>
      <c r="G678" s="11">
        <f>C678/100*11.3</f>
        <v>11.3</v>
      </c>
      <c r="H678" s="11">
        <f t="shared" si="30"/>
        <v>0</v>
      </c>
      <c r="I678" s="70"/>
      <c r="J678" s="70"/>
      <c r="K678" s="70">
        <f>C678/100*7.2</f>
        <v>7.2</v>
      </c>
      <c r="L678" s="11">
        <f>C678/100*0.378076</f>
        <v>0.37807600000000002</v>
      </c>
      <c r="M678" s="3">
        <v>3</v>
      </c>
    </row>
    <row r="679" spans="2:13">
      <c r="B679" s="104" t="s">
        <v>992</v>
      </c>
      <c r="C679" s="4">
        <v>100</v>
      </c>
      <c r="D679" s="5">
        <f>C679/100*143</f>
        <v>143</v>
      </c>
      <c r="E679" s="11">
        <f>C679/100*12.5</f>
        <v>12.5</v>
      </c>
      <c r="F679" s="11">
        <f>C679/100*6.9</f>
        <v>6.9</v>
      </c>
      <c r="G679" s="11">
        <f>C679/100*11.3</f>
        <v>11.3</v>
      </c>
      <c r="H679" s="11">
        <f t="shared" si="30"/>
        <v>0</v>
      </c>
      <c r="I679" s="70"/>
      <c r="J679" s="70"/>
      <c r="K679" s="70">
        <f>C679/100*7.2</f>
        <v>7.2</v>
      </c>
      <c r="L679" s="11">
        <f>C679/100*0.378776</f>
        <v>0.378776</v>
      </c>
      <c r="M679" s="3">
        <v>3</v>
      </c>
    </row>
    <row r="680" spans="2:13">
      <c r="B680" s="81" t="s">
        <v>436</v>
      </c>
      <c r="C680" s="12">
        <v>100</v>
      </c>
      <c r="D680" s="5">
        <f>C680/100*37</f>
        <v>37</v>
      </c>
      <c r="E680" s="11">
        <f>C680/100*3.7</f>
        <v>3.7</v>
      </c>
      <c r="F680" s="11">
        <f>C680/100*1.5</f>
        <v>1.5</v>
      </c>
      <c r="G680" s="11">
        <f>C680/100*2.3</f>
        <v>2.2999999999999998</v>
      </c>
      <c r="H680" s="11">
        <f t="shared" si="30"/>
        <v>0</v>
      </c>
      <c r="I680" s="70">
        <f>C680/100*0.2</f>
        <v>0.2</v>
      </c>
      <c r="J680" s="70">
        <f>C680/100*2.1</f>
        <v>2.1</v>
      </c>
      <c r="K680" s="70">
        <f>C680/100*2.3</f>
        <v>2.2999999999999998</v>
      </c>
      <c r="L680" s="70">
        <f>C680/100*0</f>
        <v>0</v>
      </c>
      <c r="M680" s="3">
        <v>6</v>
      </c>
    </row>
    <row r="681" spans="2:13">
      <c r="B681" s="103" t="s">
        <v>437</v>
      </c>
      <c r="C681" s="4">
        <v>100</v>
      </c>
      <c r="D681" s="5">
        <f>C681/100*34</f>
        <v>34</v>
      </c>
      <c r="E681" s="11">
        <f>C681/100*2.9</f>
        <v>2.9</v>
      </c>
      <c r="F681" s="11">
        <f>C681/100*1.6</f>
        <v>1.6</v>
      </c>
      <c r="G681" s="11">
        <f>C681/100*2.2</f>
        <v>2.2000000000000002</v>
      </c>
      <c r="H681" s="11">
        <f t="shared" si="30"/>
        <v>0</v>
      </c>
      <c r="I681" s="70">
        <f>C681/100*0.3</f>
        <v>0.3</v>
      </c>
      <c r="J681" s="70">
        <f>C681/100*1.9</f>
        <v>1.9</v>
      </c>
      <c r="K681" s="70">
        <f>C681/100*2.2</f>
        <v>2.2000000000000002</v>
      </c>
      <c r="L681" s="70">
        <f>C681/100*0</f>
        <v>0</v>
      </c>
      <c r="M681" s="3">
        <v>6</v>
      </c>
    </row>
    <row r="682" spans="2:13">
      <c r="B682" s="104" t="s">
        <v>438</v>
      </c>
      <c r="C682" s="4">
        <v>94.9</v>
      </c>
      <c r="D682" s="5">
        <f>C682/100*220/0.949</f>
        <v>220</v>
      </c>
      <c r="E682" s="11">
        <f>C682/100*5.43/0.949</f>
        <v>5.4300000000000006</v>
      </c>
      <c r="F682" s="11">
        <f>C682/100*3.23/0.949</f>
        <v>3.2300000000000004</v>
      </c>
      <c r="G682" s="11">
        <f>C682/100*41.52/0.949</f>
        <v>41.52</v>
      </c>
      <c r="H682" s="11">
        <f t="shared" si="30"/>
        <v>0</v>
      </c>
      <c r="I682" s="70"/>
      <c r="J682" s="70"/>
      <c r="K682" s="70">
        <f>C682/100*3.23/0.949</f>
        <v>3.2300000000000004</v>
      </c>
      <c r="L682" s="70">
        <f>C682/100*0.19/0.949</f>
        <v>0.19000000000000003</v>
      </c>
      <c r="M682" s="19" t="s">
        <v>751</v>
      </c>
    </row>
    <row r="683" spans="2:13">
      <c r="B683" s="104" t="s">
        <v>439</v>
      </c>
      <c r="C683" s="4">
        <v>15</v>
      </c>
      <c r="D683" s="5">
        <f>C683/100*42/0.15</f>
        <v>42</v>
      </c>
      <c r="E683" s="11">
        <f>C683/100*0.055/0.15</f>
        <v>5.5000000000000007E-2</v>
      </c>
      <c r="F683" s="11">
        <f>C683/100*0/0.15</f>
        <v>0</v>
      </c>
      <c r="G683" s="11">
        <f>C683/100*7.5/0.15</f>
        <v>7.5</v>
      </c>
      <c r="H683" s="11">
        <f t="shared" si="30"/>
        <v>0</v>
      </c>
      <c r="I683" s="70"/>
      <c r="J683" s="70"/>
      <c r="K683" s="70"/>
      <c r="L683" s="70">
        <f>C683/100*0.0063553/0.15</f>
        <v>6.3553000000000004E-3</v>
      </c>
      <c r="M683" s="19" t="s">
        <v>750</v>
      </c>
    </row>
    <row r="684" spans="2:13">
      <c r="B684" s="80" t="s">
        <v>440</v>
      </c>
      <c r="C684" s="4">
        <v>100</v>
      </c>
      <c r="D684" s="5">
        <f>C684/100*64</f>
        <v>64</v>
      </c>
      <c r="E684" s="11">
        <f>C684/100*1.2</f>
        <v>1.2</v>
      </c>
      <c r="F684" s="11">
        <f>C684/100*0.3</f>
        <v>0.3</v>
      </c>
      <c r="G684" s="11">
        <f>C684/100*15.2</f>
        <v>15.2</v>
      </c>
      <c r="H684" s="11">
        <f t="shared" si="30"/>
        <v>0</v>
      </c>
      <c r="I684" s="70"/>
      <c r="J684" s="70"/>
      <c r="K684" s="70">
        <f>C684/100*3.5</f>
        <v>3.5</v>
      </c>
      <c r="L684" s="11">
        <f>C684/100*4.3216057</f>
        <v>4.3216057000000001</v>
      </c>
      <c r="M684" s="19" t="s">
        <v>751</v>
      </c>
    </row>
    <row r="685" spans="2:13">
      <c r="B685" s="80" t="s">
        <v>441</v>
      </c>
      <c r="C685" s="4">
        <v>100</v>
      </c>
      <c r="D685" s="5">
        <f>C685/100*27</f>
        <v>27</v>
      </c>
      <c r="E685" s="11">
        <f>C685/100*1.9</f>
        <v>1.9</v>
      </c>
      <c r="F685" s="11">
        <f>C685/100*0.1</f>
        <v>0.1</v>
      </c>
      <c r="G685" s="11">
        <f>C685/100*5.5</f>
        <v>5.5</v>
      </c>
      <c r="H685" s="11">
        <f t="shared" si="30"/>
        <v>0</v>
      </c>
      <c r="I685" s="70"/>
      <c r="J685" s="70"/>
      <c r="K685" s="70">
        <f>C685/100*3.7</f>
        <v>3.7</v>
      </c>
      <c r="L685" s="11">
        <f>C685/100*2.4658573</f>
        <v>2.4658573000000001</v>
      </c>
      <c r="M685" s="19" t="s">
        <v>751</v>
      </c>
    </row>
    <row r="686" spans="2:13">
      <c r="B686" s="104" t="s">
        <v>442</v>
      </c>
      <c r="C686" s="4">
        <v>100</v>
      </c>
      <c r="D686" s="5">
        <f>C686/100*26</f>
        <v>26</v>
      </c>
      <c r="E686" s="11">
        <f>C686/100*3.6</f>
        <v>3.6</v>
      </c>
      <c r="F686" s="11">
        <f>C686/100*0.2</f>
        <v>0.2</v>
      </c>
      <c r="G686" s="11">
        <f>C686/100*4.3</f>
        <v>4.3</v>
      </c>
      <c r="H686" s="11">
        <f t="shared" si="30"/>
        <v>0</v>
      </c>
      <c r="I686" s="70">
        <f>C686/100*0.3</f>
        <v>0.3</v>
      </c>
      <c r="J686" s="70">
        <f>C686/100*2.5</f>
        <v>2.5</v>
      </c>
      <c r="K686" s="70">
        <f>C686/100*2.8</f>
        <v>2.8</v>
      </c>
      <c r="L686" s="70">
        <f>C686/100*0</f>
        <v>0</v>
      </c>
      <c r="M686" s="3">
        <v>6</v>
      </c>
    </row>
    <row r="687" spans="2:13">
      <c r="B687" s="104" t="s">
        <v>443</v>
      </c>
      <c r="C687" s="4">
        <v>100</v>
      </c>
      <c r="D687" s="5">
        <f>C687/100*30</f>
        <v>30</v>
      </c>
      <c r="E687" s="11">
        <f>C687/100*3.5</f>
        <v>3.5</v>
      </c>
      <c r="F687" s="11">
        <f>C687/100*0.2</f>
        <v>0.2</v>
      </c>
      <c r="G687" s="11">
        <f>C687/100*5.5</f>
        <v>5.5</v>
      </c>
      <c r="H687" s="11">
        <f t="shared" si="30"/>
        <v>0</v>
      </c>
      <c r="I687" s="70">
        <f>C687/100*0.4</f>
        <v>0.4</v>
      </c>
      <c r="J687" s="70">
        <f>C687/100*2.9</f>
        <v>2.9</v>
      </c>
      <c r="K687" s="70">
        <f>C687/100*3.3</f>
        <v>3.3</v>
      </c>
      <c r="L687" s="11">
        <f>C687/100*0</f>
        <v>0</v>
      </c>
      <c r="M687" s="3">
        <v>6</v>
      </c>
    </row>
    <row r="688" spans="2:13">
      <c r="B688" s="104" t="s">
        <v>444</v>
      </c>
      <c r="C688" s="4">
        <v>100</v>
      </c>
      <c r="D688" s="5">
        <f>C688/100*76</f>
        <v>76</v>
      </c>
      <c r="E688" s="11">
        <f>C688/100*16.4</f>
        <v>16.399999999999999</v>
      </c>
      <c r="F688" s="11">
        <f>C688/100*0.7</f>
        <v>0.7</v>
      </c>
      <c r="G688" s="11">
        <f>C688/100*0.1</f>
        <v>0.1</v>
      </c>
      <c r="H688" s="11">
        <f>C688/100*150</f>
        <v>150</v>
      </c>
      <c r="I688" s="70"/>
      <c r="J688" s="70"/>
      <c r="K688" s="70"/>
      <c r="L688" s="70">
        <f>C688/100*0.7</f>
        <v>0.7</v>
      </c>
      <c r="M688" s="3">
        <v>3</v>
      </c>
    </row>
    <row r="689" spans="2:13">
      <c r="B689" s="104" t="s">
        <v>445</v>
      </c>
      <c r="C689" s="4">
        <v>100</v>
      </c>
      <c r="D689" s="5">
        <f>C689/100*99</f>
        <v>99</v>
      </c>
      <c r="E689" s="11">
        <f>C689/100*21.7</f>
        <v>21.7</v>
      </c>
      <c r="F689" s="11">
        <f>C689/100*0.7</f>
        <v>0.7</v>
      </c>
      <c r="G689" s="11">
        <f>C689/100*0.1</f>
        <v>0.1</v>
      </c>
      <c r="H689" s="11">
        <f>C689/100*150</f>
        <v>150</v>
      </c>
      <c r="I689" s="70"/>
      <c r="J689" s="70"/>
      <c r="K689" s="70"/>
      <c r="L689" s="70">
        <f>C689/100*0.6</f>
        <v>0.6</v>
      </c>
      <c r="M689" s="3">
        <v>3</v>
      </c>
    </row>
    <row r="690" spans="2:13">
      <c r="B690" s="110" t="s">
        <v>446</v>
      </c>
      <c r="C690" s="4">
        <v>100</v>
      </c>
      <c r="D690" s="5">
        <f>C690/100*129</f>
        <v>129</v>
      </c>
      <c r="E690" s="11">
        <f>C690/100*6.6</f>
        <v>6.6</v>
      </c>
      <c r="F690" s="11">
        <f>C690/100*0</f>
        <v>0</v>
      </c>
      <c r="G690" s="11">
        <f>C690/100*25.7</f>
        <v>25.7</v>
      </c>
      <c r="H690" s="11">
        <f>C690/100*0</f>
        <v>0</v>
      </c>
      <c r="I690" s="70"/>
      <c r="J690" s="70"/>
      <c r="K690" s="70"/>
      <c r="L690" s="70">
        <f>C690/100*16.4</f>
        <v>16.399999999999999</v>
      </c>
      <c r="M690" s="19" t="s">
        <v>750</v>
      </c>
    </row>
    <row r="691" spans="2:13">
      <c r="B691" s="104" t="s">
        <v>937</v>
      </c>
      <c r="C691" s="4">
        <v>100</v>
      </c>
      <c r="D691" s="5">
        <f>C691/100*3</f>
        <v>3</v>
      </c>
      <c r="E691" s="11">
        <f>C691/100*0.5</f>
        <v>0.5</v>
      </c>
      <c r="F691" s="11">
        <f>C691/100*0.1</f>
        <v>0.1</v>
      </c>
      <c r="G691" s="11">
        <f>C691/100*0</f>
        <v>0</v>
      </c>
      <c r="H691" s="11">
        <f>C691/100*1.5</f>
        <v>1.5</v>
      </c>
      <c r="I691" s="70"/>
      <c r="J691" s="70"/>
      <c r="K691" s="70"/>
      <c r="L691" s="11"/>
      <c r="M691" s="19" t="s">
        <v>750</v>
      </c>
    </row>
    <row r="692" spans="2:13">
      <c r="B692" s="104" t="s">
        <v>935</v>
      </c>
      <c r="C692" s="4">
        <v>100</v>
      </c>
      <c r="D692" s="5">
        <f>C692/100*2</f>
        <v>2</v>
      </c>
      <c r="E692" s="11">
        <f>C692/100*0.3</f>
        <v>0.3</v>
      </c>
      <c r="F692" s="11">
        <f>C692/100*0</f>
        <v>0</v>
      </c>
      <c r="G692" s="11">
        <f>C692/100*0.3</f>
        <v>0.3</v>
      </c>
      <c r="H692" s="11">
        <f>C692/100*0</f>
        <v>0</v>
      </c>
      <c r="I692" s="70"/>
      <c r="J692" s="70"/>
      <c r="K692" s="70"/>
      <c r="L692" s="11"/>
      <c r="M692" s="19" t="s">
        <v>750</v>
      </c>
    </row>
    <row r="693" spans="2:13">
      <c r="B693" s="104" t="s">
        <v>934</v>
      </c>
      <c r="C693" s="4">
        <v>100</v>
      </c>
      <c r="D693" s="5">
        <f>C693/100*4</f>
        <v>4</v>
      </c>
      <c r="E693" s="11">
        <f>C693/100*0.1</f>
        <v>0.1</v>
      </c>
      <c r="F693" s="11">
        <f>C693/100*0</f>
        <v>0</v>
      </c>
      <c r="G693" s="11">
        <f>C693/100*0.9</f>
        <v>0.9</v>
      </c>
      <c r="H693" s="11">
        <f>C693/100*0</f>
        <v>0</v>
      </c>
      <c r="I693" s="70"/>
      <c r="J693" s="70"/>
      <c r="K693" s="70"/>
      <c r="L693" s="11"/>
      <c r="M693" s="19" t="s">
        <v>750</v>
      </c>
    </row>
    <row r="694" spans="2:13">
      <c r="B694" s="104" t="s">
        <v>938</v>
      </c>
      <c r="C694" s="4">
        <v>100</v>
      </c>
      <c r="D694" s="5">
        <f>C694/100*1</f>
        <v>1</v>
      </c>
      <c r="E694" s="11">
        <f>C694/100*0.1</f>
        <v>0.1</v>
      </c>
      <c r="F694" s="11">
        <f>C694/100*0.1</f>
        <v>0.1</v>
      </c>
      <c r="G694" s="11">
        <f>C694/100*0</f>
        <v>0</v>
      </c>
      <c r="H694" s="11">
        <f>C694/100*1.7</f>
        <v>1.7</v>
      </c>
      <c r="I694" s="70"/>
      <c r="J694" s="70"/>
      <c r="K694" s="70"/>
      <c r="L694" s="11"/>
      <c r="M694" s="19" t="s">
        <v>750</v>
      </c>
    </row>
    <row r="695" spans="2:13">
      <c r="B695" s="104" t="s">
        <v>447</v>
      </c>
      <c r="C695" s="4">
        <v>100</v>
      </c>
      <c r="D695" s="5">
        <f>C695/100*196</f>
        <v>196</v>
      </c>
      <c r="E695" s="11">
        <f>C695/100*14.6</f>
        <v>14.6</v>
      </c>
      <c r="F695" s="11">
        <f>C695/100*7.5</f>
        <v>7.5</v>
      </c>
      <c r="G695" s="11">
        <f>C695/100*17.6</f>
        <v>17.600000000000001</v>
      </c>
      <c r="H695" s="11">
        <f>C695/100*0</f>
        <v>0</v>
      </c>
      <c r="I695" s="70"/>
      <c r="J695" s="70"/>
      <c r="K695" s="70"/>
      <c r="L695" s="70">
        <f>C695/100*0.9</f>
        <v>0.9</v>
      </c>
      <c r="M695" s="3">
        <v>3</v>
      </c>
    </row>
    <row r="696" spans="2:13">
      <c r="B696" s="81" t="s">
        <v>448</v>
      </c>
      <c r="C696" s="4">
        <v>100</v>
      </c>
      <c r="D696" s="5">
        <f>C696/100*151</f>
        <v>151</v>
      </c>
      <c r="E696" s="11">
        <f>C696/100*12.3</f>
        <v>12.3</v>
      </c>
      <c r="F696" s="11">
        <f>C696/100*10.3</f>
        <v>10.3</v>
      </c>
      <c r="G696" s="11">
        <f>C696/100*0.3</f>
        <v>0.3</v>
      </c>
      <c r="H696" s="11">
        <f>C696/100*420</f>
        <v>420</v>
      </c>
      <c r="I696" s="70"/>
      <c r="J696" s="70"/>
      <c r="K696" s="70"/>
      <c r="L696" s="70">
        <f>C696/100*0.4</f>
        <v>0.4</v>
      </c>
      <c r="M696" s="3">
        <v>3</v>
      </c>
    </row>
    <row r="697" spans="2:13">
      <c r="B697" s="81" t="s">
        <v>449</v>
      </c>
      <c r="C697" s="4">
        <v>100</v>
      </c>
      <c r="D697" s="5">
        <f>C697/100*151</f>
        <v>151</v>
      </c>
      <c r="E697" s="11">
        <f>C697/100*12.9</f>
        <v>12.9</v>
      </c>
      <c r="F697" s="11">
        <f>C697/100*10</f>
        <v>10</v>
      </c>
      <c r="G697" s="11">
        <f>C697/100*0.3</f>
        <v>0.3</v>
      </c>
      <c r="H697" s="11">
        <f>C697/100*420</f>
        <v>420</v>
      </c>
      <c r="I697" s="70"/>
      <c r="J697" s="70"/>
      <c r="K697" s="70"/>
      <c r="L697" s="70">
        <f>C697/100*0.3</f>
        <v>0.3</v>
      </c>
      <c r="M697" s="3">
        <v>3</v>
      </c>
    </row>
    <row r="698" spans="2:13">
      <c r="B698" s="104" t="s">
        <v>450</v>
      </c>
      <c r="C698" s="4">
        <v>116.5</v>
      </c>
      <c r="D698" s="5">
        <f>C698/100*158/1.165</f>
        <v>158</v>
      </c>
      <c r="E698" s="11">
        <f>C698/100*8.43/1.165</f>
        <v>8.43</v>
      </c>
      <c r="F698" s="11">
        <f>C698/100*12.35/1.165</f>
        <v>12.35</v>
      </c>
      <c r="G698" s="11">
        <f>C698/100*2.62/1.165</f>
        <v>2.62</v>
      </c>
      <c r="H698" s="11">
        <f>C698/100*420/1.165</f>
        <v>420</v>
      </c>
      <c r="I698" s="70"/>
      <c r="J698" s="70"/>
      <c r="K698" s="70">
        <f>C698/100*1.22/1.165</f>
        <v>1.22</v>
      </c>
      <c r="L698" s="11">
        <f>C698/100*2.6326967/1.165</f>
        <v>2.6326966999999999</v>
      </c>
      <c r="M698" s="19" t="s">
        <v>751</v>
      </c>
    </row>
    <row r="699" spans="2:13">
      <c r="B699" s="104" t="s">
        <v>1047</v>
      </c>
      <c r="C699" s="4">
        <v>100</v>
      </c>
      <c r="D699" s="5">
        <f>C699/100*150</f>
        <v>150</v>
      </c>
      <c r="E699" s="11">
        <f>C699/100*9.1</f>
        <v>9.1</v>
      </c>
      <c r="F699" s="11">
        <f>C699/100*8.2</f>
        <v>8.1999999999999993</v>
      </c>
      <c r="G699" s="11">
        <f>C699/100*10</f>
        <v>10</v>
      </c>
      <c r="H699" s="11">
        <f>C699/100*420</f>
        <v>420</v>
      </c>
      <c r="I699" s="70"/>
      <c r="J699" s="70"/>
      <c r="K699" s="70"/>
      <c r="L699" s="11">
        <f>C699/100*1.1693756</f>
        <v>1.1693756</v>
      </c>
      <c r="M699" s="19" t="s">
        <v>751</v>
      </c>
    </row>
    <row r="700" spans="2:13">
      <c r="B700" s="1" t="s">
        <v>1182</v>
      </c>
      <c r="C700" s="4">
        <v>100</v>
      </c>
      <c r="D700" s="5">
        <f>C700/100*144.72</f>
        <v>144.72</v>
      </c>
      <c r="E700" s="11">
        <f>C700/100*7.38</f>
        <v>7.38</v>
      </c>
      <c r="F700" s="11">
        <f>C700/100*10.18</f>
        <v>10.18</v>
      </c>
      <c r="G700" s="11">
        <f>C700/100*4.644</f>
        <v>4.6440000000000001</v>
      </c>
      <c r="H700" s="11">
        <f>C700/100*252</f>
        <v>252</v>
      </c>
      <c r="I700" s="70">
        <f>C700/100*0</f>
        <v>0</v>
      </c>
      <c r="J700" s="70">
        <f>C700/100*0</f>
        <v>0</v>
      </c>
      <c r="K700" s="70">
        <f>C700/100*0</f>
        <v>0</v>
      </c>
      <c r="L700" s="11">
        <f>C700/100*2.223</f>
        <v>2.2229999999999999</v>
      </c>
      <c r="M700" s="19" t="s">
        <v>751</v>
      </c>
    </row>
    <row r="701" spans="2:13">
      <c r="B701" s="104" t="s">
        <v>838</v>
      </c>
      <c r="C701" s="4">
        <v>100</v>
      </c>
      <c r="D701" s="5">
        <f>C701/100*206</f>
        <v>206</v>
      </c>
      <c r="E701" s="11">
        <f>C701/100*10.47</f>
        <v>10.47</v>
      </c>
      <c r="F701" s="11">
        <f>C701/100*14.44</f>
        <v>14.44</v>
      </c>
      <c r="G701" s="11">
        <f>C701/100*6.58</f>
        <v>6.58</v>
      </c>
      <c r="H701" s="11">
        <f>C701/100*430</f>
        <v>430</v>
      </c>
      <c r="I701" s="70"/>
      <c r="J701" s="70"/>
      <c r="K701" s="70"/>
      <c r="L701" s="11">
        <f>C701/100*3.1156234</f>
        <v>3.1156234</v>
      </c>
      <c r="M701" s="19" t="s">
        <v>751</v>
      </c>
    </row>
    <row r="702" spans="2:13">
      <c r="B702" s="81" t="s">
        <v>1103</v>
      </c>
      <c r="C702" s="4">
        <v>100</v>
      </c>
      <c r="D702" s="5">
        <f>C702/100*192.42</f>
        <v>192.42</v>
      </c>
      <c r="E702" s="11">
        <f>C702/100*13.24</f>
        <v>13.24</v>
      </c>
      <c r="F702" s="11">
        <f>C702/100*11.13</f>
        <v>11.13</v>
      </c>
      <c r="G702" s="11">
        <f>C702/100*7.9</f>
        <v>7.9</v>
      </c>
      <c r="H702" s="11">
        <f>C702/100*415</f>
        <v>415</v>
      </c>
      <c r="I702" s="70"/>
      <c r="J702" s="70"/>
      <c r="K702" s="70"/>
      <c r="L702" s="11">
        <f>C702/100*0.38</f>
        <v>0.38</v>
      </c>
      <c r="M702" s="19" t="s">
        <v>751</v>
      </c>
    </row>
    <row r="703" spans="2:13">
      <c r="B703" s="81" t="s">
        <v>981</v>
      </c>
      <c r="C703" s="4">
        <v>100</v>
      </c>
      <c r="D703" s="5">
        <f>C703/100*37</f>
        <v>37</v>
      </c>
      <c r="E703" s="11">
        <f>C703/100*1</f>
        <v>1</v>
      </c>
      <c r="F703" s="11">
        <f>C703/100*0.1</f>
        <v>0.1</v>
      </c>
      <c r="G703" s="11">
        <f>C703/100*8.8</f>
        <v>8.8000000000000007</v>
      </c>
      <c r="H703" s="11">
        <f>C703/100*0</f>
        <v>0</v>
      </c>
      <c r="I703" s="70">
        <f>C703/100*0.6</f>
        <v>0.6</v>
      </c>
      <c r="J703" s="70">
        <f>C703/100*1</f>
        <v>1</v>
      </c>
      <c r="K703" s="70">
        <f>C703/100*1.6</f>
        <v>1.6</v>
      </c>
      <c r="L703" s="70">
        <f>C703/100*0</f>
        <v>0</v>
      </c>
      <c r="M703" s="3">
        <v>6</v>
      </c>
    </row>
    <row r="704" spans="2:13">
      <c r="B704" s="81" t="s">
        <v>1122</v>
      </c>
      <c r="C704" s="4">
        <v>100</v>
      </c>
      <c r="D704" s="5">
        <f>C704/100*50.06</f>
        <v>50.06</v>
      </c>
      <c r="E704" s="11">
        <f>C704/100*1.35</f>
        <v>1.35</v>
      </c>
      <c r="F704" s="11">
        <f>C704/100*0.14</f>
        <v>0.14000000000000001</v>
      </c>
      <c r="G704" s="11">
        <f>C704/100*11.91</f>
        <v>11.91</v>
      </c>
      <c r="H704" s="11">
        <f>C704/100*0</f>
        <v>0</v>
      </c>
      <c r="I704" s="70">
        <f>C704/100*0.81</f>
        <v>0.81</v>
      </c>
      <c r="J704" s="70">
        <f>C704/100*1.35</f>
        <v>1.35</v>
      </c>
      <c r="K704" s="70">
        <f>C704/100*2.16</f>
        <v>2.16</v>
      </c>
      <c r="L704" s="11">
        <f>C704/100*0</f>
        <v>0</v>
      </c>
      <c r="M704" s="3">
        <v>6</v>
      </c>
    </row>
    <row r="705" spans="2:13">
      <c r="B705" s="81" t="s">
        <v>982</v>
      </c>
      <c r="C705" s="4">
        <v>100</v>
      </c>
      <c r="D705" s="5">
        <f>C705/100*31</f>
        <v>31</v>
      </c>
      <c r="E705" s="11">
        <f>C705/100*0.8</f>
        <v>0.8</v>
      </c>
      <c r="F705" s="11">
        <f>C705/100*0.1</f>
        <v>0.1</v>
      </c>
      <c r="G705" s="11">
        <f>C705/100*7.3</f>
        <v>7.3</v>
      </c>
      <c r="H705" s="11">
        <f>C705/100*0</f>
        <v>0</v>
      </c>
      <c r="I705" s="70">
        <f>C705/100*0.7</f>
        <v>0.7</v>
      </c>
      <c r="J705" s="70">
        <f>C705/100*1</f>
        <v>1</v>
      </c>
      <c r="K705" s="70">
        <f>C705/100*1.7</f>
        <v>1.7</v>
      </c>
      <c r="L705" s="70">
        <f>C705/100*0</f>
        <v>0</v>
      </c>
      <c r="M705" s="3">
        <v>6</v>
      </c>
    </row>
    <row r="706" spans="2:13">
      <c r="B706" s="104" t="s">
        <v>451</v>
      </c>
      <c r="C706" s="4">
        <v>100</v>
      </c>
      <c r="D706" s="5">
        <f>C706/100*16</f>
        <v>16</v>
      </c>
      <c r="E706" s="11">
        <f>C706/100*3.6</f>
        <v>3.6</v>
      </c>
      <c r="F706" s="11">
        <f>C706/100*0.3</f>
        <v>0.3</v>
      </c>
      <c r="G706" s="11">
        <f>C706/100*3.7</f>
        <v>3.7</v>
      </c>
      <c r="H706" s="11">
        <f>C706/100*0</f>
        <v>0</v>
      </c>
      <c r="I706" s="70">
        <f>C706/100*0.2</f>
        <v>0.2</v>
      </c>
      <c r="J706" s="70">
        <f>C706/100*3.1</f>
        <v>3.1</v>
      </c>
      <c r="K706" s="70">
        <f>C706/100*3.3</f>
        <v>3.3</v>
      </c>
      <c r="L706" s="70">
        <f>C706/100*0</f>
        <v>0</v>
      </c>
      <c r="M706" s="3">
        <v>6</v>
      </c>
    </row>
    <row r="707" spans="2:13">
      <c r="B707" s="104" t="s">
        <v>452</v>
      </c>
      <c r="C707" s="4">
        <v>100</v>
      </c>
      <c r="D707" s="5">
        <f>C707/100*79</f>
        <v>79</v>
      </c>
      <c r="E707" s="11">
        <f>C707/100*18.1</f>
        <v>18.100000000000001</v>
      </c>
      <c r="F707" s="11">
        <f>C707/100*0.2</f>
        <v>0.2</v>
      </c>
      <c r="G707" s="11">
        <f>C707/100*0.1</f>
        <v>0.1</v>
      </c>
      <c r="H707" s="11">
        <f>C707/100*74</f>
        <v>74</v>
      </c>
      <c r="I707" s="70"/>
      <c r="J707" s="70"/>
      <c r="K707" s="70"/>
      <c r="L707" s="70">
        <f>C707/100*0.3</f>
        <v>0.3</v>
      </c>
      <c r="M707" s="3">
        <v>3</v>
      </c>
    </row>
    <row r="708" spans="2:13">
      <c r="B708" s="104" t="s">
        <v>453</v>
      </c>
      <c r="C708" s="4">
        <v>100</v>
      </c>
      <c r="D708" s="5">
        <f>C708/100*170</f>
        <v>170</v>
      </c>
      <c r="E708" s="11">
        <f>C708/100*28.3</f>
        <v>28.3</v>
      </c>
      <c r="F708" s="11">
        <f>C708/100*6.1</f>
        <v>6.1</v>
      </c>
      <c r="G708" s="11">
        <f>C708/100*0.5</f>
        <v>0.5</v>
      </c>
      <c r="H708" s="11">
        <f>C708/100*159.2</f>
        <v>159.19999999999999</v>
      </c>
      <c r="I708" s="70"/>
      <c r="J708" s="70"/>
      <c r="K708" s="70"/>
      <c r="L708" s="70">
        <f>C708/100*5.3</f>
        <v>5.3</v>
      </c>
      <c r="M708" s="3">
        <v>3</v>
      </c>
    </row>
    <row r="709" spans="2:13">
      <c r="B709" s="104" t="s">
        <v>454</v>
      </c>
      <c r="C709" s="4">
        <v>100</v>
      </c>
      <c r="D709" s="5">
        <f>C709/100*77</f>
        <v>77</v>
      </c>
      <c r="E709" s="11">
        <f>C709/100*17.6</f>
        <v>17.600000000000001</v>
      </c>
      <c r="F709" s="11">
        <f>C709/100*0.2</f>
        <v>0.2</v>
      </c>
      <c r="G709" s="11">
        <f>C709/100*0.1</f>
        <v>0.1</v>
      </c>
      <c r="H709" s="11">
        <f>C709/100*58</f>
        <v>58</v>
      </c>
      <c r="I709" s="70"/>
      <c r="J709" s="70"/>
      <c r="K709" s="70"/>
      <c r="L709" s="70">
        <f>C709/100*0.3</f>
        <v>0.3</v>
      </c>
      <c r="M709" s="3">
        <v>3</v>
      </c>
    </row>
    <row r="710" spans="2:13">
      <c r="B710" s="104" t="s">
        <v>455</v>
      </c>
      <c r="C710" s="4">
        <v>100</v>
      </c>
      <c r="D710" s="5">
        <f>C710/100*109</f>
        <v>109</v>
      </c>
      <c r="E710" s="11">
        <f>C710/100*25.2</f>
        <v>25.2</v>
      </c>
      <c r="F710" s="11">
        <f>C710/100*0.2</f>
        <v>0.2</v>
      </c>
      <c r="G710" s="11">
        <f>C710/100*0.2</f>
        <v>0.2</v>
      </c>
      <c r="H710" s="11">
        <f>C710/100*100</f>
        <v>100</v>
      </c>
      <c r="I710" s="70"/>
      <c r="J710" s="70"/>
      <c r="K710" s="70"/>
      <c r="L710" s="70">
        <f>C710/100*0.4</f>
        <v>0.4</v>
      </c>
      <c r="M710" s="3">
        <v>3</v>
      </c>
    </row>
    <row r="711" spans="2:13">
      <c r="B711" s="104" t="s">
        <v>456</v>
      </c>
      <c r="C711" s="4">
        <v>100</v>
      </c>
      <c r="D711" s="5">
        <f>C711/100*140</f>
        <v>140</v>
      </c>
      <c r="E711" s="11">
        <f>C711/100*24</f>
        <v>24</v>
      </c>
      <c r="F711" s="11">
        <f>C711/100*4.7</f>
        <v>4.7</v>
      </c>
      <c r="G711" s="11">
        <f>C711/100*0.4</f>
        <v>0.4</v>
      </c>
      <c r="H711" s="11">
        <f>C711/100*350</f>
        <v>350</v>
      </c>
      <c r="I711" s="70"/>
      <c r="J711" s="70"/>
      <c r="K711" s="70"/>
      <c r="L711" s="70">
        <f>C711/100*4.6</f>
        <v>4.5999999999999996</v>
      </c>
      <c r="M711" s="3">
        <v>3</v>
      </c>
    </row>
    <row r="712" spans="2:13">
      <c r="B712" s="104" t="s">
        <v>457</v>
      </c>
      <c r="C712" s="4">
        <v>100</v>
      </c>
      <c r="D712" s="5">
        <f>C712/100*214</f>
        <v>214</v>
      </c>
      <c r="E712" s="11">
        <f>C712/100*2.78</f>
        <v>2.78</v>
      </c>
      <c r="F712" s="11">
        <f>C712/100*8.64</f>
        <v>8.64</v>
      </c>
      <c r="G712" s="11">
        <f>C712/100*30.53</f>
        <v>30.53</v>
      </c>
      <c r="H712" s="11">
        <f>C712/100*0</f>
        <v>0</v>
      </c>
      <c r="I712" s="70"/>
      <c r="J712" s="70"/>
      <c r="K712" s="70">
        <f>C712/100*0.92</f>
        <v>0.92</v>
      </c>
      <c r="L712" s="11">
        <f>C712/100*0.02</f>
        <v>0.02</v>
      </c>
      <c r="M712" s="19" t="s">
        <v>751</v>
      </c>
    </row>
    <row r="713" spans="2:13">
      <c r="B713" s="81" t="s">
        <v>1277</v>
      </c>
      <c r="C713" s="4">
        <v>50</v>
      </c>
      <c r="D713" s="5">
        <f>C713/100*255/0.5</f>
        <v>255</v>
      </c>
      <c r="E713" s="11">
        <f>C713/100*2.7/0.5</f>
        <v>2.7</v>
      </c>
      <c r="F713" s="11">
        <f>C713/100*13/0.5</f>
        <v>13</v>
      </c>
      <c r="G713" s="11">
        <f>C713/100*31.9/0.5</f>
        <v>31.9</v>
      </c>
      <c r="H713" s="11">
        <f>C713/100*0/0.5</f>
        <v>0</v>
      </c>
      <c r="I713" s="70"/>
      <c r="J713" s="70"/>
      <c r="K713" s="70">
        <f>C713/100*0.2/0.5</f>
        <v>0.2</v>
      </c>
      <c r="L713" s="11">
        <f>C713/100*1.0346432/0.5</f>
        <v>1.0346432000000001</v>
      </c>
      <c r="M713" s="19" t="s">
        <v>751</v>
      </c>
    </row>
    <row r="714" spans="2:13">
      <c r="B714" s="81" t="s">
        <v>1101</v>
      </c>
      <c r="C714" s="4">
        <v>48</v>
      </c>
      <c r="D714" s="5">
        <f>C714/100*44/0.48</f>
        <v>43.999999999999993</v>
      </c>
      <c r="E714" s="11">
        <f>C714/100*5.4/0.48</f>
        <v>5.4</v>
      </c>
      <c r="F714" s="11">
        <f>C714/100*0/0.48</f>
        <v>0</v>
      </c>
      <c r="G714" s="11">
        <f>C714/100*5.6/0.48</f>
        <v>5.6</v>
      </c>
      <c r="H714" s="11">
        <f>C714/100*0</f>
        <v>0</v>
      </c>
      <c r="I714" s="70"/>
      <c r="J714" s="70"/>
      <c r="K714" s="70"/>
      <c r="L714" s="11">
        <f>C714/100*1.1947968/0.48</f>
        <v>1.1947968</v>
      </c>
      <c r="M714" s="3">
        <v>3</v>
      </c>
    </row>
    <row r="715" spans="2:13">
      <c r="B715" s="104" t="s">
        <v>458</v>
      </c>
      <c r="C715" s="4">
        <v>100</v>
      </c>
      <c r="D715" s="5">
        <f>C715/100*121</f>
        <v>121</v>
      </c>
      <c r="E715" s="11">
        <f>C715/100*12.2</f>
        <v>12.2</v>
      </c>
      <c r="F715" s="11">
        <f>C715/100*2</f>
        <v>2</v>
      </c>
      <c r="G715" s="11">
        <f>C715/100*13.5</f>
        <v>13.5</v>
      </c>
      <c r="H715" s="11">
        <f>C715/100*25</f>
        <v>25</v>
      </c>
      <c r="I715" s="70"/>
      <c r="J715" s="70"/>
      <c r="K715" s="70"/>
      <c r="L715" s="11">
        <f>C715/100*2.1</f>
        <v>2.1</v>
      </c>
      <c r="M715" s="3">
        <v>3</v>
      </c>
    </row>
    <row r="716" spans="2:13">
      <c r="B716" s="81" t="s">
        <v>459</v>
      </c>
      <c r="C716" s="4">
        <v>100</v>
      </c>
      <c r="D716" s="5">
        <f>C716/100*100</f>
        <v>100</v>
      </c>
      <c r="E716" s="11">
        <f>C716/100*13.1</f>
        <v>13.1</v>
      </c>
      <c r="F716" s="11">
        <f>C716/100*0.6</f>
        <v>0.6</v>
      </c>
      <c r="G716" s="11">
        <f>C716/100*10.5</f>
        <v>10.5</v>
      </c>
      <c r="H716" s="11">
        <f>C716/100*25</f>
        <v>25</v>
      </c>
      <c r="I716" s="70"/>
      <c r="J716" s="70"/>
      <c r="K716" s="70"/>
      <c r="L716" s="70">
        <f>C716/100*2.2</f>
        <v>2.2000000000000002</v>
      </c>
      <c r="M716" s="3">
        <v>3</v>
      </c>
    </row>
    <row r="717" spans="2:13">
      <c r="B717" s="104" t="s">
        <v>460</v>
      </c>
      <c r="C717" s="4">
        <v>25</v>
      </c>
      <c r="D717" s="5">
        <f>C717/100*28/0.25</f>
        <v>28</v>
      </c>
      <c r="E717" s="11">
        <f>C717/100*2.9/0.25</f>
        <v>2.9</v>
      </c>
      <c r="F717" s="11">
        <f>C717/100*0.6/0.25</f>
        <v>0.6</v>
      </c>
      <c r="G717" s="11">
        <f>C717/100*2.8/0.25</f>
        <v>2.8</v>
      </c>
      <c r="H717" s="11">
        <f>C717/100*6.3/0.25</f>
        <v>6.3</v>
      </c>
      <c r="I717" s="70"/>
      <c r="J717" s="70"/>
      <c r="K717" s="70"/>
      <c r="L717" s="70">
        <f>C717/100*0.4906293/0.25</f>
        <v>0.49062929999999999</v>
      </c>
      <c r="M717" s="3">
        <v>3</v>
      </c>
    </row>
    <row r="718" spans="2:13">
      <c r="B718" s="104" t="s">
        <v>461</v>
      </c>
      <c r="C718" s="4">
        <v>50</v>
      </c>
      <c r="D718" s="5">
        <f>C718/100*50/0.5</f>
        <v>50</v>
      </c>
      <c r="E718" s="11">
        <f>C718/100*6.6/0.5</f>
        <v>6.6</v>
      </c>
      <c r="F718" s="11">
        <f>C718/100*0.3/0.5</f>
        <v>0.3</v>
      </c>
      <c r="G718" s="11">
        <f>C718/100*5.3/0.5</f>
        <v>5.3</v>
      </c>
      <c r="H718" s="11">
        <f>C718/100*12.5/0.5</f>
        <v>12.5</v>
      </c>
      <c r="I718" s="70"/>
      <c r="J718" s="70"/>
      <c r="K718" s="70"/>
      <c r="L718" s="11">
        <f>C718/100*1.1007383/0.5</f>
        <v>1.1007382999999999</v>
      </c>
      <c r="M718" s="3">
        <v>3</v>
      </c>
    </row>
    <row r="719" spans="2:13">
      <c r="B719" s="104" t="s">
        <v>462</v>
      </c>
      <c r="C719" s="4">
        <v>54</v>
      </c>
      <c r="D719" s="5">
        <f>C719/100*54/0.54</f>
        <v>54</v>
      </c>
      <c r="E719" s="11">
        <f>C719/100*7.1/0.54</f>
        <v>7.1</v>
      </c>
      <c r="F719" s="11">
        <f>C719/100*0.3/0.54</f>
        <v>0.3</v>
      </c>
      <c r="G719" s="11">
        <f>C719/100*5.7/0.54</f>
        <v>5.7</v>
      </c>
      <c r="H719" s="11">
        <f>C719/100*13.5/0.54</f>
        <v>13.5</v>
      </c>
      <c r="I719" s="70">
        <f>C719/100*0.32/0.54</f>
        <v>0.32</v>
      </c>
      <c r="J719" s="70">
        <f>C719/100*0.49/0.54</f>
        <v>0.49</v>
      </c>
      <c r="K719" s="70">
        <f>C719/100*0.81/0.54</f>
        <v>0.81</v>
      </c>
      <c r="L719" s="11">
        <f>C719/100*1.2/0.54</f>
        <v>1.2</v>
      </c>
      <c r="M719" s="3">
        <v>3</v>
      </c>
    </row>
    <row r="720" spans="2:13">
      <c r="B720" s="104" t="s">
        <v>463</v>
      </c>
      <c r="C720" s="4">
        <v>100</v>
      </c>
      <c r="D720" s="5">
        <f>C720/100*171</f>
        <v>171</v>
      </c>
      <c r="E720" s="11">
        <f>C720/100*7.1</f>
        <v>7.1</v>
      </c>
      <c r="F720" s="11">
        <f>C720/100*1.2</f>
        <v>1.2</v>
      </c>
      <c r="G720" s="11">
        <f>C720/100*31.1</f>
        <v>31.1</v>
      </c>
      <c r="H720" s="11">
        <f>C720/100*0</f>
        <v>0</v>
      </c>
      <c r="I720" s="70">
        <f>C720/100*0.6</f>
        <v>0.6</v>
      </c>
      <c r="J720" s="70">
        <f>C720/100*0.9</f>
        <v>0.9</v>
      </c>
      <c r="K720" s="70">
        <f>C720/100*1.5</f>
        <v>1.5</v>
      </c>
      <c r="L720" s="11">
        <f>C720/100*0</f>
        <v>0</v>
      </c>
      <c r="M720" s="3">
        <v>1</v>
      </c>
    </row>
    <row r="721" spans="2:13">
      <c r="B721" s="104" t="s">
        <v>1043</v>
      </c>
      <c r="C721" s="4">
        <v>100</v>
      </c>
      <c r="D721" s="5">
        <f>C721/100*16</f>
        <v>16</v>
      </c>
      <c r="E721" s="11">
        <f>C721/100*1</f>
        <v>1</v>
      </c>
      <c r="F721" s="11">
        <f>C721/100*0</f>
        <v>0</v>
      </c>
      <c r="G721" s="11">
        <f>C721/100*3.9</f>
        <v>3.9</v>
      </c>
      <c r="H721" s="11">
        <f>C721/100*0</f>
        <v>0</v>
      </c>
      <c r="I721" s="70"/>
      <c r="J721" s="70"/>
      <c r="K721" s="70">
        <f>C721/100*1.1</f>
        <v>1.1000000000000001</v>
      </c>
      <c r="L721" s="70">
        <f>C721/100*0</f>
        <v>0</v>
      </c>
      <c r="M721" s="3">
        <v>6</v>
      </c>
    </row>
    <row r="722" spans="2:13">
      <c r="B722" s="104" t="s">
        <v>464</v>
      </c>
      <c r="C722" s="4">
        <v>100</v>
      </c>
      <c r="D722" s="5">
        <f>C722/100*172</f>
        <v>172</v>
      </c>
      <c r="E722" s="11">
        <f>C722/100*19.4</f>
        <v>19.399999999999999</v>
      </c>
      <c r="F722" s="11">
        <f>C722/100*8.2</f>
        <v>8.1999999999999993</v>
      </c>
      <c r="G722" s="11">
        <f>C722/100*5.1</f>
        <v>5.0999999999999996</v>
      </c>
      <c r="H722" s="11">
        <f>C722/100*46</f>
        <v>46</v>
      </c>
      <c r="I722" s="70"/>
      <c r="J722" s="70"/>
      <c r="K722" s="70"/>
      <c r="L722" s="70">
        <f>C722/100*2.4</f>
        <v>2.4</v>
      </c>
      <c r="M722" s="3">
        <v>3</v>
      </c>
    </row>
    <row r="723" spans="2:13">
      <c r="B723" s="104" t="s">
        <v>465</v>
      </c>
      <c r="C723" s="4">
        <v>7</v>
      </c>
      <c r="D723" s="5">
        <f>C723/100*18/0.07</f>
        <v>18</v>
      </c>
      <c r="E723" s="11">
        <f>C723/100*1.3/0.07</f>
        <v>1.3</v>
      </c>
      <c r="F723" s="11">
        <f>C723/100*0.2/0.07</f>
        <v>0.2</v>
      </c>
      <c r="G723" s="11">
        <f>C723/100*2.7/0.07</f>
        <v>2.7</v>
      </c>
      <c r="H723" s="11">
        <f>C723/100*0</f>
        <v>0</v>
      </c>
      <c r="I723" s="70"/>
      <c r="J723" s="70"/>
      <c r="K723" s="70"/>
      <c r="L723" s="11">
        <f>C723/100*2.5395788/0.07</f>
        <v>2.5395788000000001</v>
      </c>
      <c r="M723" s="19" t="s">
        <v>750</v>
      </c>
    </row>
    <row r="724" spans="2:13">
      <c r="B724" s="104" t="s">
        <v>466</v>
      </c>
      <c r="C724" s="4">
        <v>6.8</v>
      </c>
      <c r="D724" s="5">
        <f>C724/100*18/0.068</f>
        <v>18</v>
      </c>
      <c r="E724" s="11">
        <f>C724/100*0.7/0.068</f>
        <v>0.7</v>
      </c>
      <c r="F724" s="11">
        <f>C724/100*0.2/0.068</f>
        <v>0.2</v>
      </c>
      <c r="G724" s="11">
        <f>C724/100*3.4/0.068</f>
        <v>3.4</v>
      </c>
      <c r="H724" s="11">
        <f>C724/100*0</f>
        <v>0</v>
      </c>
      <c r="I724" s="70"/>
      <c r="J724" s="70"/>
      <c r="K724" s="70"/>
      <c r="L724" s="11">
        <f>C724/100*2.3565461/0.068</f>
        <v>2.3565461000000001</v>
      </c>
      <c r="M724" s="19" t="s">
        <v>750</v>
      </c>
    </row>
    <row r="725" spans="2:13">
      <c r="B725" s="104" t="s">
        <v>467</v>
      </c>
      <c r="C725" s="4">
        <v>7.7</v>
      </c>
      <c r="D725" s="5">
        <f>C725/100*22/0.077</f>
        <v>22</v>
      </c>
      <c r="E725" s="11">
        <f>C725/100*0.9/0.077</f>
        <v>0.9</v>
      </c>
      <c r="F725" s="11">
        <f>C725/100*0.3/0.077</f>
        <v>0.3</v>
      </c>
      <c r="G725" s="11">
        <f>C725/100*3.9/0.077</f>
        <v>3.9000000000000004</v>
      </c>
      <c r="H725" s="11">
        <f>C725/100*0</f>
        <v>0</v>
      </c>
      <c r="I725" s="70"/>
      <c r="J725" s="70"/>
      <c r="K725" s="70"/>
      <c r="L725" s="11">
        <f>C725/100*2.3184143/0.077</f>
        <v>2.3184143000000001</v>
      </c>
      <c r="M725" s="19" t="s">
        <v>750</v>
      </c>
    </row>
    <row r="726" spans="2:13">
      <c r="B726" s="81" t="s">
        <v>1204</v>
      </c>
      <c r="C726" s="4">
        <v>100</v>
      </c>
      <c r="D726" s="5">
        <f>C726/100*3</f>
        <v>3</v>
      </c>
      <c r="E726" s="11">
        <f>C726/100*0.8</f>
        <v>0.8</v>
      </c>
      <c r="F726" s="11">
        <f>C726/100*0</f>
        <v>0</v>
      </c>
      <c r="G726" s="11">
        <f>C726/100*0</f>
        <v>0</v>
      </c>
      <c r="H726" s="11">
        <f>C726/100*0</f>
        <v>0</v>
      </c>
      <c r="I726" s="70"/>
      <c r="J726" s="70"/>
      <c r="K726" s="70"/>
      <c r="L726" s="11">
        <f>C726/100*0.1</f>
        <v>0.1</v>
      </c>
      <c r="M726" s="19" t="s">
        <v>750</v>
      </c>
    </row>
    <row r="727" spans="2:13">
      <c r="B727" s="81" t="s">
        <v>1213</v>
      </c>
      <c r="C727" s="4">
        <v>80</v>
      </c>
      <c r="D727" s="5">
        <f>C727/100*271/0.8</f>
        <v>271</v>
      </c>
      <c r="E727" s="11">
        <f>C727/100*7.5/0.8</f>
        <v>7.5</v>
      </c>
      <c r="F727" s="11">
        <f>C727/100*1.4/0.8</f>
        <v>1.3999999999999997</v>
      </c>
      <c r="G727" s="11">
        <f>C727/100*57.2/0.8</f>
        <v>57.2</v>
      </c>
      <c r="H727" s="11">
        <f>C727/100*0/0.8</f>
        <v>0</v>
      </c>
      <c r="I727" s="70"/>
      <c r="J727" s="70"/>
      <c r="K727" s="70"/>
      <c r="L727" s="11">
        <f>C727/100*3.8131815/0.8</f>
        <v>3.8131815000000002</v>
      </c>
      <c r="M727" s="3">
        <v>1</v>
      </c>
    </row>
    <row r="728" spans="2:13">
      <c r="B728" s="81" t="s">
        <v>1214</v>
      </c>
      <c r="C728" s="4">
        <v>80</v>
      </c>
      <c r="D728" s="5">
        <f>C728/100*271/0.8</f>
        <v>271</v>
      </c>
      <c r="E728" s="11">
        <f>C728/100*7.5/0.8</f>
        <v>7.5</v>
      </c>
      <c r="F728" s="11">
        <f>C728/100*1.4/0.8</f>
        <v>1.3999999999999997</v>
      </c>
      <c r="G728" s="11">
        <f>C728/100*57.2/0.8</f>
        <v>57.2</v>
      </c>
      <c r="H728" s="11">
        <f>C728/100*0/0.8</f>
        <v>0</v>
      </c>
      <c r="I728" s="70"/>
      <c r="J728" s="70"/>
      <c r="K728" s="70"/>
      <c r="L728" s="11">
        <f>C728/100*0.5410904/0.8</f>
        <v>0.54109039999999997</v>
      </c>
      <c r="M728" s="3">
        <v>1</v>
      </c>
    </row>
    <row r="729" spans="2:13">
      <c r="B729" s="104" t="s">
        <v>468</v>
      </c>
      <c r="C729" s="4">
        <v>100</v>
      </c>
      <c r="D729" s="5">
        <f>C729/100*365</f>
        <v>365</v>
      </c>
      <c r="E729" s="11">
        <f>C729/100*10.5</f>
        <v>10.5</v>
      </c>
      <c r="F729" s="11">
        <f>C729/100*1.6</f>
        <v>1.6</v>
      </c>
      <c r="G729" s="11">
        <f>C729/100*73</f>
        <v>73</v>
      </c>
      <c r="H729" s="11">
        <f>C729/100*0</f>
        <v>0</v>
      </c>
      <c r="I729" s="70">
        <f>C729/100*1.6</f>
        <v>1.6</v>
      </c>
      <c r="J729" s="70">
        <f>C729/100*1.3</f>
        <v>1.3</v>
      </c>
      <c r="K729" s="70">
        <f>C729/100*2.9</f>
        <v>2.9</v>
      </c>
      <c r="L729" s="11">
        <f>C729/100*1.3</f>
        <v>1.3</v>
      </c>
      <c r="M729" s="3">
        <v>1</v>
      </c>
    </row>
    <row r="730" spans="2:13">
      <c r="B730" s="103" t="s">
        <v>469</v>
      </c>
      <c r="C730" s="4">
        <v>100</v>
      </c>
      <c r="D730" s="5">
        <f>C730/100*149</f>
        <v>149</v>
      </c>
      <c r="E730" s="11">
        <f>C730/100*4.9</f>
        <v>4.9000000000000004</v>
      </c>
      <c r="F730" s="11">
        <f>C730/100*0.6</f>
        <v>0.6</v>
      </c>
      <c r="G730" s="11">
        <f>C730/100*29.2</f>
        <v>29.2</v>
      </c>
      <c r="H730" s="11">
        <f>C730/100*0</f>
        <v>0</v>
      </c>
      <c r="I730" s="70">
        <f>C730/100*0.5</f>
        <v>0.5</v>
      </c>
      <c r="J730" s="70">
        <f>C730/100*0.8</f>
        <v>0.8</v>
      </c>
      <c r="K730" s="70">
        <f>C730/100*1.3</f>
        <v>1.3</v>
      </c>
      <c r="L730" s="70">
        <f>C730/100*0.2</f>
        <v>0.2</v>
      </c>
      <c r="M730" s="3">
        <v>1</v>
      </c>
    </row>
    <row r="731" spans="2:13">
      <c r="B731" s="104" t="s">
        <v>470</v>
      </c>
      <c r="C731" s="4">
        <v>104.7</v>
      </c>
      <c r="D731" s="5">
        <f>C731/100*169/0.33</f>
        <v>536.19090909090903</v>
      </c>
      <c r="E731" s="11">
        <f>C731/100*2.4/0.33</f>
        <v>7.6145454545454543</v>
      </c>
      <c r="F731" s="11">
        <f>C731/100*8.5/0.33</f>
        <v>26.968181818181815</v>
      </c>
      <c r="G731" s="11">
        <f>C731/100*20.6/0.33</f>
        <v>65.358181818181819</v>
      </c>
      <c r="H731" s="11">
        <f>C731/100*0</f>
        <v>0</v>
      </c>
      <c r="I731" s="70"/>
      <c r="J731" s="70"/>
      <c r="K731" s="70"/>
      <c r="L731" s="70"/>
      <c r="M731" s="19" t="s">
        <v>751</v>
      </c>
    </row>
    <row r="732" spans="2:13">
      <c r="B732" s="81" t="s">
        <v>1215</v>
      </c>
      <c r="C732" s="4">
        <v>10</v>
      </c>
      <c r="D732" s="5">
        <f>C732/100*48/0.1</f>
        <v>48.000000000000007</v>
      </c>
      <c r="E732" s="11">
        <f>C732/100*0.5/0.1</f>
        <v>0.5</v>
      </c>
      <c r="F732" s="11">
        <f>C732/100*2.3/0.1</f>
        <v>2.2999999999999998</v>
      </c>
      <c r="G732" s="11">
        <f>C732/100*6.3/0.1</f>
        <v>6.3</v>
      </c>
      <c r="H732" s="11">
        <f>C732/100*0/0.1</f>
        <v>0</v>
      </c>
      <c r="I732" s="70"/>
      <c r="J732" s="70"/>
      <c r="K732" s="70"/>
      <c r="L732" s="11">
        <f>C732/100*0.05/0.1</f>
        <v>5.000000000000001E-2</v>
      </c>
      <c r="M732" s="19" t="s">
        <v>751</v>
      </c>
    </row>
    <row r="733" spans="2:13">
      <c r="B733" s="104" t="s">
        <v>1049</v>
      </c>
      <c r="C733" s="4">
        <v>70</v>
      </c>
      <c r="D733" s="5">
        <f>C733/100*405/0.7</f>
        <v>405</v>
      </c>
      <c r="E733" s="11">
        <f>C733/100*9.7/0.7</f>
        <v>9.6999999999999993</v>
      </c>
      <c r="F733" s="11">
        <f>C733/100*31.9/0.7</f>
        <v>31.9</v>
      </c>
      <c r="G733" s="11">
        <f>C733/100*24.9/0.7</f>
        <v>24.899999999999995</v>
      </c>
      <c r="H733" s="11">
        <f>C733/100*13.3/0.7</f>
        <v>13.3</v>
      </c>
      <c r="I733" s="70"/>
      <c r="J733" s="70"/>
      <c r="K733" s="70">
        <f>C733/100*10.2/0.7</f>
        <v>10.199999999999999</v>
      </c>
      <c r="L733" s="11">
        <f>C733/100*0.0101684/0.7</f>
        <v>1.0168399999999999E-2</v>
      </c>
      <c r="M733" s="19" t="s">
        <v>751</v>
      </c>
    </row>
    <row r="734" spans="2:13">
      <c r="B734" s="104" t="s">
        <v>1050</v>
      </c>
      <c r="C734" s="4">
        <v>60</v>
      </c>
      <c r="D734" s="5">
        <f>C734/100*362/0.6</f>
        <v>362</v>
      </c>
      <c r="E734" s="11">
        <f>C734/100*8.5/0.6</f>
        <v>8.5</v>
      </c>
      <c r="F734" s="11">
        <f>C734/100*30.8/0.6</f>
        <v>30.8</v>
      </c>
      <c r="G734" s="11">
        <f>C734/100*17.3/0.6</f>
        <v>17.3</v>
      </c>
      <c r="H734" s="11">
        <f>C734/100*11.4/0.6</f>
        <v>11.4</v>
      </c>
      <c r="I734" s="70"/>
      <c r="J734" s="70"/>
      <c r="K734" s="70">
        <f>C734/100*9.2/0.6</f>
        <v>9.1999999999999993</v>
      </c>
      <c r="L734" s="11">
        <f>C734/100*0.0076263/0.6</f>
        <v>7.6262999999999999E-3</v>
      </c>
      <c r="M734" s="19" t="s">
        <v>751</v>
      </c>
    </row>
    <row r="735" spans="2:13">
      <c r="B735" s="104" t="s">
        <v>948</v>
      </c>
      <c r="C735" s="4">
        <v>100</v>
      </c>
      <c r="D735" s="5">
        <f>C735/100*160</f>
        <v>160</v>
      </c>
      <c r="E735" s="11">
        <f>C735/100*9.64</f>
        <v>9.64</v>
      </c>
      <c r="F735" s="11">
        <f>C735/100*3.73</f>
        <v>3.73</v>
      </c>
      <c r="G735" s="11">
        <f>C735/100*20.66</f>
        <v>20.66</v>
      </c>
      <c r="H735" s="11">
        <f>C735/100*0</f>
        <v>0</v>
      </c>
      <c r="I735" s="70"/>
      <c r="J735" s="70"/>
      <c r="K735" s="70">
        <f>C735/100*0.22</f>
        <v>0.22</v>
      </c>
      <c r="L735" s="11">
        <f>C735/100*1.33</f>
        <v>1.33</v>
      </c>
      <c r="M735" s="19" t="s">
        <v>751</v>
      </c>
    </row>
    <row r="736" spans="2:13">
      <c r="B736" s="80" t="s">
        <v>471</v>
      </c>
      <c r="C736" s="4">
        <v>100</v>
      </c>
      <c r="D736" s="5">
        <f>C736/100*125</f>
        <v>125</v>
      </c>
      <c r="E736" s="11">
        <f>C736/100*17.2</f>
        <v>17.2</v>
      </c>
      <c r="F736" s="11">
        <f>C736/100*5.5</f>
        <v>5.5</v>
      </c>
      <c r="G736" s="11">
        <f>C736/100*0.1</f>
        <v>0.1</v>
      </c>
      <c r="H736" s="11">
        <f>C736/100*0</f>
        <v>0</v>
      </c>
      <c r="I736" s="70"/>
      <c r="J736" s="70"/>
      <c r="K736" s="70"/>
      <c r="L736" s="11">
        <f>C736/100*0.5</f>
        <v>0.5</v>
      </c>
      <c r="M736" s="3">
        <v>3</v>
      </c>
    </row>
    <row r="737" spans="2:13">
      <c r="B737" s="104" t="s">
        <v>472</v>
      </c>
      <c r="C737" s="4">
        <v>100</v>
      </c>
      <c r="D737" s="5">
        <f>C737/100*86</f>
        <v>86</v>
      </c>
      <c r="E737" s="11">
        <f>C737/100*17.8</f>
        <v>17.8</v>
      </c>
      <c r="F737" s="11">
        <f>C737/100*0.2</f>
        <v>0.2</v>
      </c>
      <c r="G737" s="11">
        <f>C737/100*2.3</f>
        <v>2.2999999999999998</v>
      </c>
      <c r="H737" s="11">
        <f>C737/100*110</f>
        <v>110</v>
      </c>
      <c r="I737" s="70"/>
      <c r="J737" s="70"/>
      <c r="K737" s="70"/>
      <c r="L737" s="70">
        <f>C737/100*1</f>
        <v>1</v>
      </c>
      <c r="M737" s="3">
        <v>3</v>
      </c>
    </row>
    <row r="738" spans="2:13">
      <c r="B738" s="104" t="s">
        <v>800</v>
      </c>
      <c r="C738" s="4">
        <v>100</v>
      </c>
      <c r="D738" s="5">
        <f>C738/100*244</f>
        <v>244</v>
      </c>
      <c r="E738" s="11">
        <f>C738/100*5.6</f>
        <v>5.6</v>
      </c>
      <c r="F738" s="11">
        <f>C738/100*0.6</f>
        <v>0.6</v>
      </c>
      <c r="G738" s="11">
        <f>C738/100*54</f>
        <v>54</v>
      </c>
      <c r="H738" s="11">
        <f t="shared" ref="H738:H743" si="32">C738/100*0</f>
        <v>0</v>
      </c>
      <c r="I738" s="70"/>
      <c r="J738" s="70"/>
      <c r="K738" s="70">
        <f>C738/100*5.7</f>
        <v>5.7</v>
      </c>
      <c r="L738" s="11">
        <f>C738/100*0.1423587</f>
        <v>0.1423587</v>
      </c>
      <c r="M738" s="19" t="s">
        <v>751</v>
      </c>
    </row>
    <row r="739" spans="2:13">
      <c r="B739" s="104" t="s">
        <v>967</v>
      </c>
      <c r="C739" s="4">
        <v>100</v>
      </c>
      <c r="D739" s="5">
        <f>C739/100*295</f>
        <v>295</v>
      </c>
      <c r="E739" s="11">
        <f>C739/100*35.4</f>
        <v>35.4</v>
      </c>
      <c r="F739" s="11">
        <f>C739/100*2.4</f>
        <v>2.4</v>
      </c>
      <c r="G739" s="11">
        <f>C739/100*33</f>
        <v>33</v>
      </c>
      <c r="H739" s="11">
        <f t="shared" si="32"/>
        <v>0</v>
      </c>
      <c r="I739" s="70"/>
      <c r="J739" s="70"/>
      <c r="K739" s="70"/>
      <c r="L739" s="11">
        <f>C739/100*10.676908</f>
        <v>10.676907999999999</v>
      </c>
      <c r="M739" s="3">
        <v>3</v>
      </c>
    </row>
    <row r="740" spans="2:13">
      <c r="B740" s="104" t="s">
        <v>473</v>
      </c>
      <c r="C740" s="4">
        <v>100</v>
      </c>
      <c r="D740" s="5">
        <f>C740/100*113</f>
        <v>113</v>
      </c>
      <c r="E740" s="11">
        <f>C740/100*12</f>
        <v>12</v>
      </c>
      <c r="F740" s="11">
        <f>C740/100*4.3</f>
        <v>4.3</v>
      </c>
      <c r="G740" s="11">
        <f>C740/100*2.6</f>
        <v>2.6</v>
      </c>
      <c r="H740" s="11">
        <f t="shared" si="32"/>
        <v>0</v>
      </c>
      <c r="I740" s="70"/>
      <c r="J740" s="70"/>
      <c r="K740" s="70"/>
      <c r="L740" s="11">
        <f>C740/100*1.4</f>
        <v>1.4</v>
      </c>
      <c r="M740" s="3">
        <v>3</v>
      </c>
    </row>
    <row r="741" spans="2:13">
      <c r="B741" s="104" t="s">
        <v>474</v>
      </c>
      <c r="C741" s="4">
        <v>100</v>
      </c>
      <c r="D741" s="5">
        <f>C741/100*50</f>
        <v>50</v>
      </c>
      <c r="E741" s="11">
        <f>C741/100*0.9</f>
        <v>0.9</v>
      </c>
      <c r="F741" s="11">
        <f>C741/100*0.1</f>
        <v>0.1</v>
      </c>
      <c r="G741" s="11">
        <f>C741/100*12.7</f>
        <v>12.7</v>
      </c>
      <c r="H741" s="11">
        <f t="shared" si="32"/>
        <v>0</v>
      </c>
      <c r="I741" s="70">
        <f>C741/100*0.3</f>
        <v>0.3</v>
      </c>
      <c r="J741" s="70">
        <f>C741/100*0.2</f>
        <v>0.2</v>
      </c>
      <c r="K741" s="70">
        <f>C741/100*0.5</f>
        <v>0.5</v>
      </c>
      <c r="L741" s="70">
        <f>C741/100*0</f>
        <v>0</v>
      </c>
      <c r="M741" s="3">
        <v>2</v>
      </c>
    </row>
    <row r="742" spans="2:13">
      <c r="B742" s="104" t="s">
        <v>916</v>
      </c>
      <c r="C742" s="4">
        <v>100</v>
      </c>
      <c r="D742" s="5">
        <f>C742/100*82</f>
        <v>82</v>
      </c>
      <c r="E742" s="11">
        <f>C742/100*0.2</f>
        <v>0.2</v>
      </c>
      <c r="F742" s="11">
        <f>C742/100*0</f>
        <v>0</v>
      </c>
      <c r="G742" s="11">
        <f>C742/100*19.9</f>
        <v>19.899999999999999</v>
      </c>
      <c r="H742" s="11">
        <f t="shared" si="32"/>
        <v>0</v>
      </c>
      <c r="I742" s="70"/>
      <c r="J742" s="70"/>
      <c r="K742" s="70">
        <f>C742/100*0.5</f>
        <v>0.5</v>
      </c>
      <c r="L742" s="11">
        <f>C742/100*0.1042269</f>
        <v>0.1042269</v>
      </c>
      <c r="M742" s="19" t="s">
        <v>751</v>
      </c>
    </row>
    <row r="743" spans="2:13">
      <c r="B743" s="81" t="s">
        <v>1071</v>
      </c>
      <c r="C743" s="4">
        <v>100</v>
      </c>
      <c r="D743" s="5">
        <f>C743/100*169</f>
        <v>169</v>
      </c>
      <c r="E743" s="11">
        <f>C743/100*6.04</f>
        <v>6.04</v>
      </c>
      <c r="F743" s="11">
        <f>C743/100*3.16</f>
        <v>3.16</v>
      </c>
      <c r="G743" s="11">
        <f>C743/100*27.34</f>
        <v>27.34</v>
      </c>
      <c r="H743" s="11">
        <f t="shared" si="32"/>
        <v>0</v>
      </c>
      <c r="I743" s="70"/>
      <c r="J743" s="70"/>
      <c r="K743" s="70">
        <f>C743/100*0.33</f>
        <v>0.33</v>
      </c>
      <c r="L743" s="11">
        <f>C743/100*0.6768905</f>
        <v>0.67689049999999995</v>
      </c>
      <c r="M743" s="3" t="s">
        <v>754</v>
      </c>
    </row>
    <row r="744" spans="2:13">
      <c r="B744" s="104" t="s">
        <v>475</v>
      </c>
      <c r="C744" s="4">
        <v>100</v>
      </c>
      <c r="D744" s="5">
        <f>C744/100*135</f>
        <v>135</v>
      </c>
      <c r="E744" s="11">
        <f>C744/100*9.8</f>
        <v>9.8000000000000007</v>
      </c>
      <c r="F744" s="11">
        <f>C744/100*3.1</f>
        <v>3.1</v>
      </c>
      <c r="G744" s="11">
        <f>C744/100*16.9</f>
        <v>16.899999999999999</v>
      </c>
      <c r="H744" s="11">
        <f>C744/100*20</f>
        <v>20</v>
      </c>
      <c r="I744" s="70"/>
      <c r="J744" s="70"/>
      <c r="K744" s="70"/>
      <c r="L744" s="11">
        <f>C744/100*2.0947077</f>
        <v>2.0947076999999998</v>
      </c>
      <c r="M744" s="3">
        <v>3</v>
      </c>
    </row>
    <row r="745" spans="2:13">
      <c r="B745" s="81" t="s">
        <v>1119</v>
      </c>
      <c r="C745" s="4">
        <v>100</v>
      </c>
      <c r="D745" s="5">
        <f>C745/100*135</f>
        <v>135</v>
      </c>
      <c r="E745" s="11">
        <f>C745/100*9.8</f>
        <v>9.8000000000000007</v>
      </c>
      <c r="F745" s="11">
        <f>C745/100*3.1</f>
        <v>3.1</v>
      </c>
      <c r="G745" s="11">
        <f>C745/100*16.9</f>
        <v>16.899999999999999</v>
      </c>
      <c r="H745" s="11">
        <f>C745/100*20</f>
        <v>20</v>
      </c>
      <c r="I745" s="70"/>
      <c r="J745" s="70"/>
      <c r="K745" s="70"/>
      <c r="L745" s="11">
        <f>C745/100*2.0947077</f>
        <v>2.0947076999999998</v>
      </c>
      <c r="M745" s="3">
        <v>3</v>
      </c>
    </row>
    <row r="746" spans="2:13">
      <c r="B746" s="104" t="s">
        <v>974</v>
      </c>
      <c r="C746" s="85">
        <v>100</v>
      </c>
      <c r="D746" s="5">
        <f>C746/100*206</f>
        <v>206</v>
      </c>
      <c r="E746" s="11">
        <f>C746/100*10.88</f>
        <v>10.88</v>
      </c>
      <c r="F746" s="11">
        <f>C746/100*11.34</f>
        <v>11.34</v>
      </c>
      <c r="G746" s="11">
        <f>C746/100*14.92</f>
        <v>14.92</v>
      </c>
      <c r="H746" s="11">
        <f>C746/100*0</f>
        <v>0</v>
      </c>
      <c r="I746" s="70"/>
      <c r="J746" s="70"/>
      <c r="K746" s="70">
        <f>C746/100*0.13</f>
        <v>0.13</v>
      </c>
      <c r="L746" s="11">
        <f>C746/100*1.711788</f>
        <v>1.7117880000000001</v>
      </c>
      <c r="M746" s="19" t="s">
        <v>751</v>
      </c>
    </row>
    <row r="747" spans="2:13">
      <c r="B747" s="104" t="s">
        <v>476</v>
      </c>
      <c r="C747" s="4">
        <v>100</v>
      </c>
      <c r="D747" s="5">
        <f>C747/100*146</f>
        <v>146</v>
      </c>
      <c r="E747" s="11">
        <f>C747/100*11.7</f>
        <v>11.7</v>
      </c>
      <c r="F747" s="11">
        <f>C747/100*4.9</f>
        <v>4.9000000000000004</v>
      </c>
      <c r="G747" s="11">
        <f>C747/100*13.7</f>
        <v>13.7</v>
      </c>
      <c r="H747" s="11">
        <f>C747/100*20</f>
        <v>20</v>
      </c>
      <c r="I747" s="70"/>
      <c r="J747" s="70"/>
      <c r="K747" s="70"/>
      <c r="L747" s="70">
        <f>C747/100*2.1</f>
        <v>2.1</v>
      </c>
      <c r="M747" s="3">
        <v>3</v>
      </c>
    </row>
    <row r="748" spans="2:13">
      <c r="B748" s="104" t="s">
        <v>905</v>
      </c>
      <c r="C748" s="4">
        <v>100</v>
      </c>
      <c r="D748" s="5">
        <f>C748/100*344</f>
        <v>344</v>
      </c>
      <c r="E748" s="11">
        <f>C748/100*8</f>
        <v>8</v>
      </c>
      <c r="F748" s="11">
        <f>C748/100*1.3</f>
        <v>1.3</v>
      </c>
      <c r="G748" s="11">
        <f>C748/100*75.1</f>
        <v>75.099999999999994</v>
      </c>
      <c r="H748" s="11">
        <f t="shared" ref="H748:H777" si="33">C748/100*0</f>
        <v>0</v>
      </c>
      <c r="I748" s="70"/>
      <c r="J748" s="70"/>
      <c r="K748" s="70"/>
      <c r="L748" s="11">
        <f>C748/100*0.4982557</f>
        <v>0.49825570000000002</v>
      </c>
      <c r="M748" s="3">
        <v>1</v>
      </c>
    </row>
    <row r="749" spans="2:13">
      <c r="B749" s="104" t="s">
        <v>921</v>
      </c>
      <c r="C749" s="4">
        <v>100</v>
      </c>
      <c r="D749" s="5">
        <f>C749/100*355</f>
        <v>355</v>
      </c>
      <c r="E749" s="11">
        <f>C749/100*8.5</f>
        <v>8.5</v>
      </c>
      <c r="F749" s="11">
        <f>C749/100*1.3</f>
        <v>1.3</v>
      </c>
      <c r="G749" s="11">
        <f>C749/100*77.3</f>
        <v>77.3</v>
      </c>
      <c r="H749" s="11">
        <f t="shared" si="33"/>
        <v>0</v>
      </c>
      <c r="I749" s="70"/>
      <c r="J749" s="70"/>
      <c r="K749" s="70"/>
      <c r="L749" s="11">
        <f>C749/100*0.4169078</f>
        <v>0.4169078</v>
      </c>
      <c r="M749" s="3">
        <v>1</v>
      </c>
    </row>
    <row r="750" spans="2:13">
      <c r="B750" s="104" t="s">
        <v>477</v>
      </c>
      <c r="C750" s="4">
        <v>100</v>
      </c>
      <c r="D750" s="5">
        <f>C750/100*360</f>
        <v>360</v>
      </c>
      <c r="E750" s="11">
        <f>C750/100*9.2</f>
        <v>9.1999999999999993</v>
      </c>
      <c r="F750" s="11">
        <f>C750/100*1.8</f>
        <v>1.8</v>
      </c>
      <c r="G750" s="11">
        <f>C750/100*76.2</f>
        <v>76.2</v>
      </c>
      <c r="H750" s="11">
        <f t="shared" si="33"/>
        <v>0</v>
      </c>
      <c r="I750" s="70"/>
      <c r="J750" s="70"/>
      <c r="K750" s="70"/>
      <c r="L750" s="70">
        <f>C750/100*0.4830029</f>
        <v>0.48300290000000001</v>
      </c>
      <c r="M750" s="3">
        <v>1</v>
      </c>
    </row>
    <row r="751" spans="2:13">
      <c r="B751" s="104" t="s">
        <v>478</v>
      </c>
      <c r="C751" s="4">
        <v>100</v>
      </c>
      <c r="D751" s="5">
        <f>C751/100*330</f>
        <v>330</v>
      </c>
      <c r="E751" s="11">
        <f>C751/100*0.1</f>
        <v>0.1</v>
      </c>
      <c r="F751" s="11">
        <f>C751/100*0.1</f>
        <v>0.1</v>
      </c>
      <c r="G751" s="11">
        <f>C751/100*81.6</f>
        <v>81.599999999999994</v>
      </c>
      <c r="H751" s="11">
        <f t="shared" si="33"/>
        <v>0</v>
      </c>
      <c r="I751" s="70">
        <f>C751/100*0</f>
        <v>0</v>
      </c>
      <c r="J751" s="70">
        <f>C751/100*0</f>
        <v>0</v>
      </c>
      <c r="K751" s="70">
        <f>C751/100*0</f>
        <v>0</v>
      </c>
      <c r="L751" s="70">
        <f>C751/100*0</f>
        <v>0</v>
      </c>
      <c r="M751" s="3">
        <v>1</v>
      </c>
    </row>
    <row r="752" spans="2:13">
      <c r="B752" s="104" t="s">
        <v>803</v>
      </c>
      <c r="C752" s="4">
        <v>100</v>
      </c>
      <c r="D752" s="5">
        <f>C752/100*419</f>
        <v>419</v>
      </c>
      <c r="E752" s="11">
        <f>C752/100*16.2</f>
        <v>16.2</v>
      </c>
      <c r="F752" s="11">
        <f>C752/100*9.7</f>
        <v>9.6999999999999993</v>
      </c>
      <c r="G752" s="11">
        <f>C752/100*66.8</f>
        <v>66.8</v>
      </c>
      <c r="H752" s="11">
        <f t="shared" si="33"/>
        <v>0</v>
      </c>
      <c r="I752" s="70"/>
      <c r="J752" s="70"/>
      <c r="K752" s="70"/>
      <c r="L752" s="11"/>
      <c r="M752" s="3" t="s">
        <v>747</v>
      </c>
    </row>
    <row r="753" spans="2:13">
      <c r="B753" s="104" t="s">
        <v>906</v>
      </c>
      <c r="C753" s="4">
        <v>100</v>
      </c>
      <c r="D753" s="5">
        <f>C753/100*96</f>
        <v>96</v>
      </c>
      <c r="E753" s="11">
        <f>C753/100*3.9</f>
        <v>3.9</v>
      </c>
      <c r="F753" s="11">
        <f>C753/100*3.4</f>
        <v>3.4</v>
      </c>
      <c r="G753" s="11">
        <f>C753/100*16.3</f>
        <v>16.3</v>
      </c>
      <c r="H753" s="11">
        <f t="shared" si="33"/>
        <v>0</v>
      </c>
      <c r="I753" s="70"/>
      <c r="J753" s="70"/>
      <c r="K753" s="70">
        <f>C753/100*10.3</f>
        <v>10.3</v>
      </c>
      <c r="L753" s="11">
        <f>C753/100*0.0152527</f>
        <v>1.5252699999999999E-2</v>
      </c>
      <c r="M753" s="3">
        <v>6</v>
      </c>
    </row>
    <row r="754" spans="2:13">
      <c r="B754" s="81" t="s">
        <v>1226</v>
      </c>
      <c r="C754" s="4">
        <v>100</v>
      </c>
      <c r="D754" s="5">
        <f>C754/100*35</f>
        <v>35</v>
      </c>
      <c r="E754" s="11">
        <f>C754/100*3.4</f>
        <v>3.4</v>
      </c>
      <c r="F754" s="11">
        <f>C754/100*0.1</f>
        <v>0.1</v>
      </c>
      <c r="G754" s="11">
        <f>C754/100*7.2</f>
        <v>7.2</v>
      </c>
      <c r="H754" s="11">
        <f t="shared" si="33"/>
        <v>0</v>
      </c>
      <c r="I754" s="70">
        <f>C754/100*0.7</f>
        <v>0.7</v>
      </c>
      <c r="J754" s="70">
        <f>C754/100*5</f>
        <v>5</v>
      </c>
      <c r="K754" s="70">
        <f>C754/100*5.7</f>
        <v>5.7</v>
      </c>
      <c r="L754" s="11">
        <f>C754/100*0</f>
        <v>0</v>
      </c>
      <c r="M754" s="3">
        <v>6</v>
      </c>
    </row>
    <row r="755" spans="2:13">
      <c r="B755" s="104" t="s">
        <v>479</v>
      </c>
      <c r="C755" s="4">
        <v>100</v>
      </c>
      <c r="D755" s="5">
        <f>C755/100*99</f>
        <v>99</v>
      </c>
      <c r="E755" s="11">
        <f>C755/100*3.5</f>
        <v>3.5</v>
      </c>
      <c r="F755" s="11">
        <f>C755/100*1.7</f>
        <v>1.7</v>
      </c>
      <c r="G755" s="11">
        <f>C755/100*18.6</f>
        <v>18.600000000000001</v>
      </c>
      <c r="H755" s="11">
        <f t="shared" si="33"/>
        <v>0</v>
      </c>
      <c r="I755" s="70">
        <f>C755/100*0.3</f>
        <v>0.3</v>
      </c>
      <c r="J755" s="70">
        <f>C755/100*2.8</f>
        <v>2.8</v>
      </c>
      <c r="K755" s="70">
        <f>C755/100*3.1</f>
        <v>3.1</v>
      </c>
      <c r="L755" s="70">
        <f>C755/100*0</f>
        <v>0</v>
      </c>
      <c r="M755" s="3">
        <v>6</v>
      </c>
    </row>
    <row r="756" spans="2:13">
      <c r="B756" s="104" t="s">
        <v>879</v>
      </c>
      <c r="C756" s="4">
        <v>100</v>
      </c>
      <c r="D756" s="5">
        <f>C756/100*99</f>
        <v>99</v>
      </c>
      <c r="E756" s="11">
        <f>C756/100*3.5</f>
        <v>3.5</v>
      </c>
      <c r="F756" s="11">
        <f>C756/100*1.7</f>
        <v>1.7</v>
      </c>
      <c r="G756" s="11">
        <f>C756/100*18.6</f>
        <v>18.600000000000001</v>
      </c>
      <c r="H756" s="11">
        <f t="shared" si="33"/>
        <v>0</v>
      </c>
      <c r="I756" s="70">
        <f>C756/100*0.3</f>
        <v>0.3</v>
      </c>
      <c r="J756" s="70">
        <f>C756/100*2.8</f>
        <v>2.8</v>
      </c>
      <c r="K756" s="70">
        <f>C756/100*3.1</f>
        <v>3.1</v>
      </c>
      <c r="L756" s="70">
        <f>C756/100*0.5392986</f>
        <v>0.53929859999999996</v>
      </c>
      <c r="M756" s="3">
        <v>6</v>
      </c>
    </row>
    <row r="757" spans="2:13">
      <c r="B757" s="103" t="s">
        <v>480</v>
      </c>
      <c r="C757" s="4">
        <v>100</v>
      </c>
      <c r="D757" s="5">
        <f>C757/100*386</f>
        <v>386</v>
      </c>
      <c r="E757" s="11">
        <f>C757/100*18.6</f>
        <v>18.600000000000001</v>
      </c>
      <c r="F757" s="11">
        <f>C757/100*33.1</f>
        <v>33.1</v>
      </c>
      <c r="G757" s="11">
        <f>C757/100*2.5</f>
        <v>2.5</v>
      </c>
      <c r="H757" s="11">
        <f t="shared" si="33"/>
        <v>0</v>
      </c>
      <c r="I757" s="70">
        <f>C757/100*0.5</f>
        <v>0.5</v>
      </c>
      <c r="J757" s="70">
        <f>C757/100*0.6</f>
        <v>0.6</v>
      </c>
      <c r="K757" s="70">
        <f>C757/100*1.1</f>
        <v>1.1000000000000001</v>
      </c>
      <c r="L757" s="70">
        <f t="shared" ref="L757:L763" si="34">C757/100*0</f>
        <v>0</v>
      </c>
      <c r="M757" s="3">
        <v>3</v>
      </c>
    </row>
    <row r="758" spans="2:13">
      <c r="B758" s="104" t="s">
        <v>481</v>
      </c>
      <c r="C758" s="4">
        <v>100</v>
      </c>
      <c r="D758" s="5">
        <f>C758/100*56</f>
        <v>56</v>
      </c>
      <c r="E758" s="11">
        <f>C758/100*4.9</f>
        <v>4.9000000000000004</v>
      </c>
      <c r="F758" s="11">
        <f>C758/100*3</f>
        <v>3</v>
      </c>
      <c r="G758" s="11">
        <f>C758/100*2</f>
        <v>2</v>
      </c>
      <c r="H758" s="11">
        <f t="shared" si="33"/>
        <v>0</v>
      </c>
      <c r="I758" s="70">
        <f>C758/100*0.1</f>
        <v>0.1</v>
      </c>
      <c r="J758" s="70">
        <f>C758/100*0.2</f>
        <v>0.2</v>
      </c>
      <c r="K758" s="70">
        <f>C758/100*0.3</f>
        <v>0.3</v>
      </c>
      <c r="L758" s="70">
        <f t="shared" si="34"/>
        <v>0</v>
      </c>
      <c r="M758" s="3">
        <v>3</v>
      </c>
    </row>
    <row r="759" spans="2:13">
      <c r="B759" s="81" t="s">
        <v>1079</v>
      </c>
      <c r="C759" s="4">
        <v>100</v>
      </c>
      <c r="D759" s="5">
        <f>C759/100*77</f>
        <v>77</v>
      </c>
      <c r="E759" s="11">
        <f>C759/100*7</f>
        <v>7</v>
      </c>
      <c r="F759" s="11">
        <f>C759/100*5</f>
        <v>5</v>
      </c>
      <c r="G759" s="11">
        <f>C759/100*1.3</f>
        <v>1.3</v>
      </c>
      <c r="H759" s="11">
        <f t="shared" si="33"/>
        <v>0</v>
      </c>
      <c r="I759" s="70"/>
      <c r="J759" s="70"/>
      <c r="K759" s="70">
        <f>C759/100*0.6</f>
        <v>0.6</v>
      </c>
      <c r="L759" s="11">
        <f t="shared" si="34"/>
        <v>0</v>
      </c>
      <c r="M759" s="3">
        <v>3</v>
      </c>
    </row>
    <row r="760" spans="2:13">
      <c r="B760" s="104" t="s">
        <v>1068</v>
      </c>
      <c r="C760" s="4">
        <v>100</v>
      </c>
      <c r="D760" s="5">
        <f>C760/100*87</f>
        <v>87</v>
      </c>
      <c r="E760" s="11">
        <f>C760/100*8.1</f>
        <v>8.1</v>
      </c>
      <c r="F760" s="11">
        <f>C760/100*5.4</f>
        <v>5.4</v>
      </c>
      <c r="G760" s="11">
        <f>C760/100*1.6</f>
        <v>1.6</v>
      </c>
      <c r="H760" s="11">
        <f t="shared" si="33"/>
        <v>0</v>
      </c>
      <c r="I760" s="70"/>
      <c r="J760" s="70"/>
      <c r="K760" s="70">
        <f>C760/100*0.2</f>
        <v>0.2</v>
      </c>
      <c r="L760" s="11">
        <f t="shared" si="34"/>
        <v>0</v>
      </c>
      <c r="M760" s="3">
        <v>3</v>
      </c>
    </row>
    <row r="761" spans="2:13">
      <c r="B761" s="104" t="s">
        <v>482</v>
      </c>
      <c r="C761" s="4">
        <v>100</v>
      </c>
      <c r="D761" s="5">
        <f>C761/100*150</f>
        <v>150</v>
      </c>
      <c r="E761" s="11">
        <f>C761/100*10.7</f>
        <v>10.7</v>
      </c>
      <c r="F761" s="11">
        <f>C761/100*11.3</f>
        <v>11.3</v>
      </c>
      <c r="G761" s="11">
        <f>C761/100*0.9</f>
        <v>0.9</v>
      </c>
      <c r="H761" s="11">
        <f t="shared" si="33"/>
        <v>0</v>
      </c>
      <c r="I761" s="70">
        <f>C761/100*0.2</f>
        <v>0.2</v>
      </c>
      <c r="J761" s="70">
        <f>C761/100*0.3</f>
        <v>0.3</v>
      </c>
      <c r="K761" s="70">
        <f>C761/100*0.7</f>
        <v>0.7</v>
      </c>
      <c r="L761" s="11">
        <f t="shared" si="34"/>
        <v>0</v>
      </c>
      <c r="M761" s="3">
        <v>3</v>
      </c>
    </row>
    <row r="762" spans="2:13">
      <c r="B762" s="81" t="s">
        <v>1109</v>
      </c>
      <c r="C762" s="4">
        <v>100</v>
      </c>
      <c r="D762" s="5">
        <f>C762/100*87</f>
        <v>87</v>
      </c>
      <c r="E762" s="11">
        <f>C762/100*8.1</f>
        <v>8.1</v>
      </c>
      <c r="F762" s="11">
        <f>C762/100*5.4</f>
        <v>5.4</v>
      </c>
      <c r="G762" s="11">
        <f>C762/100*1.6</f>
        <v>1.6</v>
      </c>
      <c r="H762" s="11">
        <f t="shared" si="33"/>
        <v>0</v>
      </c>
      <c r="I762" s="70"/>
      <c r="J762" s="70"/>
      <c r="K762" s="70">
        <f>C762/100*0.2</f>
        <v>0.2</v>
      </c>
      <c r="L762" s="11">
        <f t="shared" si="34"/>
        <v>0</v>
      </c>
      <c r="M762" s="3">
        <v>3</v>
      </c>
    </row>
    <row r="763" spans="2:13">
      <c r="B763" s="104" t="s">
        <v>1255</v>
      </c>
      <c r="C763" s="4">
        <v>100</v>
      </c>
      <c r="D763" s="5">
        <f>C763/100*72</f>
        <v>72</v>
      </c>
      <c r="E763" s="11">
        <f>C763/100*6.6</f>
        <v>6.6</v>
      </c>
      <c r="F763" s="11">
        <f>C763/100*4.2</f>
        <v>4.2</v>
      </c>
      <c r="G763" s="11">
        <f>C763/100*1.6</f>
        <v>1.6</v>
      </c>
      <c r="H763" s="11">
        <f t="shared" si="33"/>
        <v>0</v>
      </c>
      <c r="I763" s="70">
        <f>C763/100*0.1</f>
        <v>0.1</v>
      </c>
      <c r="J763" s="70">
        <f>C763/100*0.3</f>
        <v>0.3</v>
      </c>
      <c r="K763" s="70">
        <f>C763/100*0.4</f>
        <v>0.4</v>
      </c>
      <c r="L763" s="70">
        <f t="shared" si="34"/>
        <v>0</v>
      </c>
      <c r="M763" s="3">
        <v>3</v>
      </c>
    </row>
    <row r="764" spans="2:13">
      <c r="B764" s="104" t="s">
        <v>483</v>
      </c>
      <c r="C764" s="4">
        <v>100</v>
      </c>
      <c r="D764" s="5">
        <f>C764/100*73</f>
        <v>73</v>
      </c>
      <c r="E764" s="11">
        <f>C764/100*6.4</f>
        <v>6.4</v>
      </c>
      <c r="F764" s="11">
        <f>C764/100*4.6</f>
        <v>4.5999999999999996</v>
      </c>
      <c r="G764" s="11">
        <f>C764/100*1.6</f>
        <v>1.6</v>
      </c>
      <c r="H764" s="11">
        <f t="shared" si="33"/>
        <v>0</v>
      </c>
      <c r="I764" s="70">
        <f>C764/100*0.1</f>
        <v>0.1</v>
      </c>
      <c r="J764" s="70">
        <f>C764/100*0.3</f>
        <v>0.3</v>
      </c>
      <c r="K764" s="70">
        <f>C764/100*0.4</f>
        <v>0.4</v>
      </c>
      <c r="L764" s="70">
        <f>C764/100*0.00864</f>
        <v>8.6400000000000001E-3</v>
      </c>
      <c r="M764" s="3">
        <v>3</v>
      </c>
    </row>
    <row r="765" spans="2:13">
      <c r="B765" s="104" t="s">
        <v>484</v>
      </c>
      <c r="C765" s="4">
        <v>100</v>
      </c>
      <c r="D765" s="5">
        <f>C765/100*92</f>
        <v>92</v>
      </c>
      <c r="E765" s="11">
        <f>C765/100*9</f>
        <v>9</v>
      </c>
      <c r="F765" s="11">
        <f>C765/100*5.7</f>
        <v>5.7</v>
      </c>
      <c r="G765" s="11">
        <f>C765/100*1.2</f>
        <v>1.2</v>
      </c>
      <c r="H765" s="11">
        <f t="shared" si="33"/>
        <v>0</v>
      </c>
      <c r="I765" s="70">
        <f>C765/100*0.1</f>
        <v>0.1</v>
      </c>
      <c r="J765" s="70">
        <f>C765/100*0.3</f>
        <v>0.3</v>
      </c>
      <c r="K765" s="70">
        <f>C765/100*0.4</f>
        <v>0.4</v>
      </c>
      <c r="L765" s="70">
        <f>C765/100*0.0096432</f>
        <v>9.6431999999999993E-3</v>
      </c>
      <c r="M765" s="3">
        <v>3</v>
      </c>
    </row>
    <row r="766" spans="2:13">
      <c r="B766" s="81" t="s">
        <v>1179</v>
      </c>
      <c r="C766" s="4">
        <v>100</v>
      </c>
      <c r="D766" s="5">
        <f>C766/100*77</f>
        <v>77</v>
      </c>
      <c r="E766" s="11">
        <f>C766/100*7</f>
        <v>7</v>
      </c>
      <c r="F766" s="11">
        <f>C766/100*5</f>
        <v>5</v>
      </c>
      <c r="G766" s="11">
        <f>C766/100*1.3</f>
        <v>1.3</v>
      </c>
      <c r="H766" s="11">
        <f t="shared" si="33"/>
        <v>0</v>
      </c>
      <c r="I766" s="70">
        <f>C766/100*0</f>
        <v>0</v>
      </c>
      <c r="J766" s="70">
        <f>C766/100*0</f>
        <v>0</v>
      </c>
      <c r="K766" s="70">
        <f>C766/100*0.6</f>
        <v>0.6</v>
      </c>
      <c r="L766" s="11">
        <f>C766/100*0</f>
        <v>0</v>
      </c>
      <c r="M766" s="3">
        <v>3</v>
      </c>
    </row>
    <row r="767" spans="2:13">
      <c r="B767" s="104" t="s">
        <v>485</v>
      </c>
      <c r="C767" s="4">
        <v>100</v>
      </c>
      <c r="D767" s="5">
        <f>C767/100*72</f>
        <v>72</v>
      </c>
      <c r="E767" s="11">
        <f>C767/100*6.6</f>
        <v>6.6</v>
      </c>
      <c r="F767" s="11">
        <f>C767/100*4.2</f>
        <v>4.2</v>
      </c>
      <c r="G767" s="11">
        <f>C767/100*1.6</f>
        <v>1.6</v>
      </c>
      <c r="H767" s="11">
        <f t="shared" si="33"/>
        <v>0</v>
      </c>
      <c r="I767" s="70">
        <f>C767/100*0.1</f>
        <v>0.1</v>
      </c>
      <c r="J767" s="70">
        <f>C767/100*0.3</f>
        <v>0.3</v>
      </c>
      <c r="K767" s="70">
        <f>C767/100*0.4</f>
        <v>0.4</v>
      </c>
      <c r="L767" s="70">
        <f>C767/100*0.0330475</f>
        <v>3.30475E-2</v>
      </c>
      <c r="M767" s="3">
        <v>3</v>
      </c>
    </row>
    <row r="768" spans="2:13">
      <c r="B768" s="103" t="s">
        <v>486</v>
      </c>
      <c r="C768" s="4">
        <v>100</v>
      </c>
      <c r="D768" s="5">
        <f>C768/100*19</f>
        <v>19</v>
      </c>
      <c r="E768" s="11">
        <f>C768/100*0.7</f>
        <v>0.7</v>
      </c>
      <c r="F768" s="11">
        <f>C768/100*0.1</f>
        <v>0.1</v>
      </c>
      <c r="G768" s="11">
        <f>C768/100*4.7</f>
        <v>4.7</v>
      </c>
      <c r="H768" s="11">
        <f t="shared" si="33"/>
        <v>0</v>
      </c>
      <c r="I768" s="70">
        <f>C768/100*0.3</f>
        <v>0.3</v>
      </c>
      <c r="J768" s="70">
        <f>C768/100*0.7</f>
        <v>0.7</v>
      </c>
      <c r="K768" s="70">
        <f>C768/100*1</f>
        <v>1</v>
      </c>
      <c r="L768" s="70">
        <f>C768/100*0</f>
        <v>0</v>
      </c>
      <c r="M768" s="3">
        <v>6</v>
      </c>
    </row>
    <row r="769" spans="2:13">
      <c r="B769" s="104" t="s">
        <v>487</v>
      </c>
      <c r="C769" s="4">
        <v>100</v>
      </c>
      <c r="D769" s="5">
        <f>C769/100*29</f>
        <v>29</v>
      </c>
      <c r="E769" s="11">
        <f>C769/100*1.1</f>
        <v>1.1000000000000001</v>
      </c>
      <c r="F769" s="11">
        <f>C769/100*0.1</f>
        <v>0.1</v>
      </c>
      <c r="G769" s="11">
        <f>C769/100*7.2</f>
        <v>7.2</v>
      </c>
      <c r="H769" s="11">
        <f t="shared" si="33"/>
        <v>0</v>
      </c>
      <c r="I769" s="70">
        <f>C769/100*0.4</f>
        <v>0.4</v>
      </c>
      <c r="J769" s="70">
        <f>C769/100*1</f>
        <v>1</v>
      </c>
      <c r="K769" s="70">
        <f>C769/100*1.4</f>
        <v>1.4</v>
      </c>
      <c r="L769" s="70">
        <f>C769/100*0</f>
        <v>0</v>
      </c>
      <c r="M769" s="3">
        <v>6</v>
      </c>
    </row>
    <row r="770" spans="2:13">
      <c r="B770" s="81" t="s">
        <v>1266</v>
      </c>
      <c r="C770" s="4">
        <v>100</v>
      </c>
      <c r="D770" s="5">
        <f>C770/100*120</f>
        <v>120</v>
      </c>
      <c r="E770" s="11">
        <f>C770/100*1.5</f>
        <v>1.5</v>
      </c>
      <c r="F770" s="11">
        <f>C770/100*0</f>
        <v>0</v>
      </c>
      <c r="G770" s="11">
        <f>C770/100*27.4</f>
        <v>27.4</v>
      </c>
      <c r="H770" s="11">
        <f t="shared" si="33"/>
        <v>0</v>
      </c>
      <c r="I770" s="70"/>
      <c r="J770" s="70"/>
      <c r="K770" s="70"/>
      <c r="L770" s="11">
        <f>C770/100*3.3047573</f>
        <v>3.3047572999999999</v>
      </c>
      <c r="M770" s="3" t="s">
        <v>747</v>
      </c>
    </row>
    <row r="771" spans="2:13">
      <c r="B771" s="104" t="s">
        <v>816</v>
      </c>
      <c r="C771" s="4">
        <v>100</v>
      </c>
      <c r="D771" s="5">
        <f>C771/100*44</f>
        <v>44</v>
      </c>
      <c r="E771" s="11">
        <f>C771/100*2</f>
        <v>2</v>
      </c>
      <c r="F771" s="11">
        <f>C771/100*0.2</f>
        <v>0.2</v>
      </c>
      <c r="G771" s="11">
        <f>C771/100*8.5</f>
        <v>8.5</v>
      </c>
      <c r="H771" s="11">
        <f t="shared" si="33"/>
        <v>0</v>
      </c>
      <c r="I771" s="70"/>
      <c r="J771" s="70"/>
      <c r="K771" s="70">
        <f>C771/100*1.1</f>
        <v>1.1000000000000001</v>
      </c>
      <c r="L771" s="11">
        <f>C771/100*1.3727453</f>
        <v>1.3727453000000001</v>
      </c>
      <c r="M771" s="19" t="s">
        <v>750</v>
      </c>
    </row>
    <row r="772" spans="2:13">
      <c r="B772" s="104" t="s">
        <v>791</v>
      </c>
      <c r="C772" s="4">
        <v>100</v>
      </c>
      <c r="D772" s="5">
        <f>C772/100*313</f>
        <v>313</v>
      </c>
      <c r="E772" s="11">
        <f>C772/100*37.1</f>
        <v>37.1</v>
      </c>
      <c r="F772" s="11">
        <f>C772/100*6.8</f>
        <v>6.8</v>
      </c>
      <c r="G772" s="11">
        <f>C772/100*43.1</f>
        <v>43.1</v>
      </c>
      <c r="H772" s="11">
        <f t="shared" si="33"/>
        <v>0</v>
      </c>
      <c r="I772" s="70"/>
      <c r="J772" s="70"/>
      <c r="K772" s="70">
        <f>C772/100*32.6</f>
        <v>32.6</v>
      </c>
      <c r="L772" s="11">
        <f>C772/100*0.3050545</f>
        <v>0.30505450000000001</v>
      </c>
      <c r="M772" s="19" t="s">
        <v>750</v>
      </c>
    </row>
    <row r="773" spans="2:13">
      <c r="B773" s="104" t="s">
        <v>955</v>
      </c>
      <c r="C773" s="4">
        <v>100</v>
      </c>
      <c r="D773" s="5">
        <f>C773/100*697</f>
        <v>697</v>
      </c>
      <c r="E773" s="11">
        <f>C773/100*12.8</f>
        <v>12.8</v>
      </c>
      <c r="F773" s="11">
        <f>C773/100*63.5</f>
        <v>63.5</v>
      </c>
      <c r="G773" s="11">
        <f>C773/100*19.2</f>
        <v>19.2</v>
      </c>
      <c r="H773" s="11">
        <f t="shared" si="33"/>
        <v>0</v>
      </c>
      <c r="I773" s="70"/>
      <c r="J773" s="70"/>
      <c r="K773" s="70">
        <f>C773/100*7.5</f>
        <v>7.5</v>
      </c>
      <c r="L773" s="11">
        <f>C773/100*0</f>
        <v>0</v>
      </c>
      <c r="M773" s="3">
        <v>5</v>
      </c>
    </row>
    <row r="774" spans="2:13">
      <c r="B774" s="104" t="s">
        <v>956</v>
      </c>
      <c r="C774" s="4">
        <v>100</v>
      </c>
      <c r="D774" s="5">
        <f>C774/100*337</f>
        <v>337</v>
      </c>
      <c r="E774" s="11">
        <f>C774/100*3.3</f>
        <v>3.3</v>
      </c>
      <c r="F774" s="11">
        <f>C774/100*0.1</f>
        <v>0.1</v>
      </c>
      <c r="G774" s="11">
        <f>C774/100*80.7</f>
        <v>80.7</v>
      </c>
      <c r="H774" s="11">
        <f t="shared" si="33"/>
        <v>0</v>
      </c>
      <c r="I774" s="70"/>
      <c r="J774" s="70"/>
      <c r="K774" s="70"/>
      <c r="L774" s="11">
        <f>C774/100*0</f>
        <v>0</v>
      </c>
      <c r="M774" s="3">
        <v>2</v>
      </c>
    </row>
    <row r="775" spans="2:13">
      <c r="B775" s="104" t="s">
        <v>488</v>
      </c>
      <c r="C775" s="4">
        <v>100</v>
      </c>
      <c r="D775" s="5">
        <f>C775/100*161</f>
        <v>161</v>
      </c>
      <c r="E775" s="11">
        <f>C775/100*5.4</f>
        <v>5.4</v>
      </c>
      <c r="F775" s="11">
        <f>C775/100*0.6</f>
        <v>0.6</v>
      </c>
      <c r="G775" s="11">
        <f>C775/100*39.4</f>
        <v>39.4</v>
      </c>
      <c r="H775" s="11">
        <f t="shared" si="33"/>
        <v>0</v>
      </c>
      <c r="I775" s="70"/>
      <c r="J775" s="70"/>
      <c r="K775" s="70">
        <f>C775/100*6</f>
        <v>6</v>
      </c>
      <c r="L775" s="70">
        <f>C775/100*0.7</f>
        <v>0.7</v>
      </c>
      <c r="M775" s="19" t="s">
        <v>751</v>
      </c>
    </row>
    <row r="776" spans="2:13">
      <c r="B776" s="104" t="s">
        <v>489</v>
      </c>
      <c r="C776" s="4">
        <v>100</v>
      </c>
      <c r="D776" s="5">
        <f>C776/100*187</f>
        <v>187</v>
      </c>
      <c r="E776" s="11">
        <f>C776/100*6.7</f>
        <v>6.7</v>
      </c>
      <c r="F776" s="11">
        <f>C776/100*0.6</f>
        <v>0.6</v>
      </c>
      <c r="G776" s="11">
        <f>C776/100*35.6</f>
        <v>35.6</v>
      </c>
      <c r="H776" s="11">
        <f t="shared" si="33"/>
        <v>0</v>
      </c>
      <c r="I776" s="70"/>
      <c r="J776" s="70"/>
      <c r="K776" s="70">
        <f>C776/100*6.4</f>
        <v>6.4</v>
      </c>
      <c r="L776" s="11">
        <f>C776/100*0.551823</f>
        <v>0.55182299999999995</v>
      </c>
      <c r="M776" s="19" t="s">
        <v>751</v>
      </c>
    </row>
    <row r="777" spans="2:13">
      <c r="B777" s="104" t="s">
        <v>490</v>
      </c>
      <c r="C777" s="4">
        <v>63.4</v>
      </c>
      <c r="D777" s="5">
        <f>C777/100*172/0.634</f>
        <v>172</v>
      </c>
      <c r="E777" s="11">
        <f>C777/100*3.99/0.634</f>
        <v>3.99</v>
      </c>
      <c r="F777" s="11">
        <f>C777/100*3.18/0.634</f>
        <v>3.1799999999999997</v>
      </c>
      <c r="G777" s="11">
        <f>C777/100*30.89/0.634</f>
        <v>30.89</v>
      </c>
      <c r="H777" s="11">
        <f t="shared" si="33"/>
        <v>0</v>
      </c>
      <c r="I777" s="70"/>
      <c r="J777" s="70"/>
      <c r="K777" s="70">
        <f>C777/100*1.45/0.634</f>
        <v>1.45</v>
      </c>
      <c r="L777" s="70">
        <f>C777/100*0.13/0.634</f>
        <v>0.13</v>
      </c>
      <c r="M777" s="19" t="s">
        <v>751</v>
      </c>
    </row>
    <row r="778" spans="2:13">
      <c r="B778" s="81" t="s">
        <v>491</v>
      </c>
      <c r="C778" s="4">
        <v>100</v>
      </c>
      <c r="D778" s="5">
        <f>C778/100*114</f>
        <v>114</v>
      </c>
      <c r="E778" s="11">
        <f>C778/100*24.6</f>
        <v>24.6</v>
      </c>
      <c r="F778" s="11">
        <f>C778/100*1.1</f>
        <v>1.1000000000000001</v>
      </c>
      <c r="G778" s="11">
        <f t="shared" ref="G778:G783" si="35">C778/100*0</f>
        <v>0</v>
      </c>
      <c r="H778" s="11">
        <f>C778/100*52</f>
        <v>52</v>
      </c>
      <c r="I778" s="70"/>
      <c r="J778" s="70"/>
      <c r="K778" s="70"/>
      <c r="L778" s="70">
        <f>C778/100*0.1</f>
        <v>0.1</v>
      </c>
      <c r="M778" s="3">
        <v>3</v>
      </c>
    </row>
    <row r="779" spans="2:13">
      <c r="B779" s="81" t="s">
        <v>1100</v>
      </c>
      <c r="C779" s="4">
        <v>100</v>
      </c>
      <c r="D779" s="5">
        <f>C779/100*122.77</f>
        <v>122.77</v>
      </c>
      <c r="E779" s="11">
        <f>C779/100*26.49</f>
        <v>26.49</v>
      </c>
      <c r="F779" s="11">
        <f>C779/100*1.18</f>
        <v>1.18</v>
      </c>
      <c r="G779" s="11">
        <f t="shared" si="35"/>
        <v>0</v>
      </c>
      <c r="H779" s="11">
        <f>C779/100*55.6</f>
        <v>55.6</v>
      </c>
      <c r="I779" s="70"/>
      <c r="J779" s="70"/>
      <c r="K779" s="70"/>
      <c r="L779" s="11">
        <f>C779/100*0.11</f>
        <v>0.11</v>
      </c>
      <c r="M779" s="3">
        <v>3</v>
      </c>
    </row>
    <row r="780" spans="2:13">
      <c r="B780" s="81" t="s">
        <v>1108</v>
      </c>
      <c r="C780" s="4">
        <v>100</v>
      </c>
      <c r="D780" s="5">
        <f>C780/100*123.31</f>
        <v>123.31</v>
      </c>
      <c r="E780" s="11">
        <f>C780/100*26.61</f>
        <v>26.61</v>
      </c>
      <c r="F780" s="11">
        <f>C780/100*1.19</f>
        <v>1.19</v>
      </c>
      <c r="G780" s="11">
        <f t="shared" si="35"/>
        <v>0</v>
      </c>
      <c r="H780" s="11">
        <f>C780/100*56.1</f>
        <v>56.1</v>
      </c>
      <c r="I780" s="70"/>
      <c r="J780" s="70"/>
      <c r="K780" s="70"/>
      <c r="L780" s="11">
        <f>C780/100*0.11</f>
        <v>0.11</v>
      </c>
      <c r="M780" s="3">
        <v>3</v>
      </c>
    </row>
    <row r="781" spans="2:13">
      <c r="B781" s="81" t="s">
        <v>1129</v>
      </c>
      <c r="C781" s="4">
        <v>100</v>
      </c>
      <c r="D781" s="5">
        <f>C781/100*134.49</f>
        <v>134.49</v>
      </c>
      <c r="E781" s="11">
        <f>C781/100*29.02</f>
        <v>29.02</v>
      </c>
      <c r="F781" s="11">
        <f>C781/100*1.3</f>
        <v>1.3</v>
      </c>
      <c r="G781" s="11">
        <f t="shared" si="35"/>
        <v>0</v>
      </c>
      <c r="H781" s="11">
        <f>C781/100*61.3</f>
        <v>61.3</v>
      </c>
      <c r="I781" s="70"/>
      <c r="J781" s="70"/>
      <c r="K781" s="70">
        <f>C781/100*0</f>
        <v>0</v>
      </c>
      <c r="L781" s="11">
        <f>C781/100*0.12</f>
        <v>0.12</v>
      </c>
      <c r="M781" s="3">
        <v>3</v>
      </c>
    </row>
    <row r="782" spans="2:13">
      <c r="B782" s="81" t="s">
        <v>492</v>
      </c>
      <c r="C782" s="4">
        <v>100</v>
      </c>
      <c r="D782" s="5">
        <f>C782/100*195</f>
        <v>195</v>
      </c>
      <c r="E782" s="11">
        <f>C782/100*23</f>
        <v>23</v>
      </c>
      <c r="F782" s="11">
        <f>C782/100*10.4</f>
        <v>10.4</v>
      </c>
      <c r="G782" s="11">
        <f t="shared" si="35"/>
        <v>0</v>
      </c>
      <c r="H782" s="11">
        <f>C782/100*140</f>
        <v>140</v>
      </c>
      <c r="I782" s="70"/>
      <c r="J782" s="70"/>
      <c r="K782" s="70"/>
      <c r="L782" s="70">
        <f>C782/100*0.1</f>
        <v>0.1</v>
      </c>
      <c r="M782" s="3">
        <v>3</v>
      </c>
    </row>
    <row r="783" spans="2:13">
      <c r="B783" s="81" t="s">
        <v>493</v>
      </c>
      <c r="C783" s="4">
        <v>100</v>
      </c>
      <c r="D783" s="5">
        <f>C783/100*138</f>
        <v>138</v>
      </c>
      <c r="E783" s="11">
        <f>C783/100*22</f>
        <v>22</v>
      </c>
      <c r="F783" s="11">
        <f>C783/100*4.3</f>
        <v>4.3</v>
      </c>
      <c r="G783" s="11">
        <f t="shared" si="35"/>
        <v>0</v>
      </c>
      <c r="H783" s="11">
        <f>C783/100*77</f>
        <v>77</v>
      </c>
      <c r="I783" s="70"/>
      <c r="J783" s="70"/>
      <c r="K783" s="70"/>
      <c r="L783" s="70">
        <f>C783/100*0.1</f>
        <v>0.1</v>
      </c>
      <c r="M783" s="3">
        <v>3</v>
      </c>
    </row>
    <row r="784" spans="2:13">
      <c r="B784" s="104" t="s">
        <v>494</v>
      </c>
      <c r="C784" s="4">
        <v>100</v>
      </c>
      <c r="D784" s="5">
        <f>C784/100*197</f>
        <v>197</v>
      </c>
      <c r="E784" s="11">
        <f>C784/100*15.05</f>
        <v>15.05</v>
      </c>
      <c r="F784" s="11">
        <f>C784/100*12.6</f>
        <v>12.6</v>
      </c>
      <c r="G784" s="11">
        <f>C784/100*3.45</f>
        <v>3.45</v>
      </c>
      <c r="H784" s="11">
        <f>C784/100*141</f>
        <v>141</v>
      </c>
      <c r="I784" s="70"/>
      <c r="J784" s="70"/>
      <c r="K784" s="70"/>
      <c r="L784" s="70">
        <f>C784/100*0.96</f>
        <v>0.96</v>
      </c>
      <c r="M784" s="3">
        <v>3</v>
      </c>
    </row>
    <row r="785" spans="2:13">
      <c r="B785" s="104" t="s">
        <v>495</v>
      </c>
      <c r="C785" s="4">
        <v>100</v>
      </c>
      <c r="D785" s="5">
        <f>C785/100*105</f>
        <v>105</v>
      </c>
      <c r="E785" s="11">
        <f>C785/100*23</f>
        <v>23</v>
      </c>
      <c r="F785" s="11">
        <f>C785/100*0.8</f>
        <v>0.8</v>
      </c>
      <c r="G785" s="11">
        <f>C785/100*0</f>
        <v>0</v>
      </c>
      <c r="H785" s="11">
        <f>C785/100*67</f>
        <v>67</v>
      </c>
      <c r="I785" s="70"/>
      <c r="J785" s="70"/>
      <c r="K785" s="70"/>
      <c r="L785" s="70">
        <f>C785/100*0.1</f>
        <v>0.1</v>
      </c>
      <c r="M785" s="3">
        <v>3</v>
      </c>
    </row>
    <row r="786" spans="2:13">
      <c r="B786" s="104" t="s">
        <v>496</v>
      </c>
      <c r="C786" s="4">
        <v>100</v>
      </c>
      <c r="D786" s="5">
        <f>C786/100*211</f>
        <v>211</v>
      </c>
      <c r="E786" s="11">
        <f>C786/100*17.5</f>
        <v>17.5</v>
      </c>
      <c r="F786" s="11">
        <f>C786/100*14.6</f>
        <v>14.6</v>
      </c>
      <c r="G786" s="11">
        <f>C786/100*0</f>
        <v>0</v>
      </c>
      <c r="H786" s="11">
        <f>C786/100*120</f>
        <v>120</v>
      </c>
      <c r="I786" s="70"/>
      <c r="J786" s="70"/>
      <c r="K786" s="70"/>
      <c r="L786" s="70">
        <f>C786/100*0.2</f>
        <v>0.2</v>
      </c>
      <c r="M786" s="3">
        <v>3</v>
      </c>
    </row>
    <row r="787" spans="2:13">
      <c r="B787" s="104" t="s">
        <v>786</v>
      </c>
      <c r="C787" s="4">
        <v>100</v>
      </c>
      <c r="D787" s="5">
        <f>C787/100*166</f>
        <v>166</v>
      </c>
      <c r="E787" s="11">
        <f>C787/100*20.9</f>
        <v>20.9</v>
      </c>
      <c r="F787" s="11">
        <f>C787/100*8.3</f>
        <v>8.3000000000000007</v>
      </c>
      <c r="G787" s="11">
        <f>C787/100*0</f>
        <v>0</v>
      </c>
      <c r="H787" s="11">
        <f>C787/100*75</f>
        <v>75</v>
      </c>
      <c r="I787" s="70"/>
      <c r="J787" s="70"/>
      <c r="K787" s="70"/>
      <c r="L787" s="11">
        <f>C787/100*0.1525272</f>
        <v>0.1525272</v>
      </c>
      <c r="M787" s="3">
        <v>3</v>
      </c>
    </row>
    <row r="788" spans="2:13">
      <c r="B788" s="104" t="s">
        <v>497</v>
      </c>
      <c r="C788" s="4">
        <v>100</v>
      </c>
      <c r="D788" s="5">
        <f>C788/100*392</f>
        <v>392</v>
      </c>
      <c r="E788" s="11">
        <f>C788/100*0</f>
        <v>0</v>
      </c>
      <c r="F788" s="11">
        <f>C788/100*0</f>
        <v>0</v>
      </c>
      <c r="G788" s="11">
        <f>C788/100*98</f>
        <v>98</v>
      </c>
      <c r="H788" s="11">
        <f>C788/100*0</f>
        <v>0</v>
      </c>
      <c r="I788" s="70">
        <f>C788/100*0</f>
        <v>0</v>
      </c>
      <c r="J788" s="70">
        <f>C788/100*0</f>
        <v>0</v>
      </c>
      <c r="K788" s="70">
        <f>C788/100*0</f>
        <v>0</v>
      </c>
      <c r="L788" s="11">
        <f>C788/100*0</f>
        <v>0</v>
      </c>
      <c r="M788" s="19" t="s">
        <v>751</v>
      </c>
    </row>
    <row r="789" spans="2:13">
      <c r="B789" s="81" t="s">
        <v>1089</v>
      </c>
      <c r="C789" s="4">
        <v>100</v>
      </c>
      <c r="D789" s="5">
        <f>C789/100*198</f>
        <v>198</v>
      </c>
      <c r="E789" s="11">
        <f>C789/100*5</f>
        <v>5</v>
      </c>
      <c r="F789" s="11">
        <f>C789/100*1.8</f>
        <v>1.8</v>
      </c>
      <c r="G789" s="11">
        <f>C789/100*54</f>
        <v>54</v>
      </c>
      <c r="H789" s="11">
        <f>C789/100*0</f>
        <v>0</v>
      </c>
      <c r="I789" s="70"/>
      <c r="J789" s="70"/>
      <c r="K789" s="70">
        <f>C789/100*26.9</f>
        <v>26.9</v>
      </c>
      <c r="L789" s="11">
        <f>C789/100*0.2</f>
        <v>0.2</v>
      </c>
      <c r="M789" s="3">
        <v>6</v>
      </c>
    </row>
    <row r="790" spans="2:13">
      <c r="B790" s="104" t="s">
        <v>498</v>
      </c>
      <c r="C790" s="4">
        <v>75</v>
      </c>
      <c r="D790" s="5">
        <f>C790/100*405/0.75</f>
        <v>405</v>
      </c>
      <c r="E790" s="11">
        <f>C790/100*4/0.75</f>
        <v>4</v>
      </c>
      <c r="F790" s="11">
        <f>C790/100*22.7/0.75</f>
        <v>22.7</v>
      </c>
      <c r="G790" s="11">
        <f>C790/100*46.2/0.75</f>
        <v>46.20000000000001</v>
      </c>
      <c r="H790" s="11">
        <f>C790/100*0</f>
        <v>0</v>
      </c>
      <c r="I790" s="70"/>
      <c r="J790" s="70"/>
      <c r="K790" s="70"/>
      <c r="L790" s="11">
        <f>C790/100*1.1947968/0.75</f>
        <v>1.1947968</v>
      </c>
      <c r="M790" s="19" t="s">
        <v>751</v>
      </c>
    </row>
    <row r="791" spans="2:13">
      <c r="B791" s="104" t="s">
        <v>499</v>
      </c>
      <c r="C791" s="4">
        <v>100</v>
      </c>
      <c r="D791" s="5">
        <f>C791/100*58.36</f>
        <v>58.36</v>
      </c>
      <c r="E791" s="11">
        <f>C791/100*1.82</f>
        <v>1.82</v>
      </c>
      <c r="F791" s="11">
        <f>C791/100*4.53</f>
        <v>4.53</v>
      </c>
      <c r="G791" s="11">
        <f>C791/100*2.18</f>
        <v>2.1800000000000002</v>
      </c>
      <c r="H791" s="11">
        <f>C791/100*6.7</f>
        <v>6.7</v>
      </c>
      <c r="I791" s="70"/>
      <c r="J791" s="70"/>
      <c r="K791" s="70">
        <f>C791/100*0.18</f>
        <v>0.18</v>
      </c>
      <c r="L791" s="11">
        <f>C791/100*1.83</f>
        <v>1.83</v>
      </c>
      <c r="M791" s="19" t="s">
        <v>750</v>
      </c>
    </row>
    <row r="792" spans="2:13">
      <c r="B792" s="104" t="s">
        <v>848</v>
      </c>
      <c r="C792" s="4">
        <v>100</v>
      </c>
      <c r="D792" s="5">
        <f>C792/100*15</f>
        <v>15</v>
      </c>
      <c r="E792" s="11">
        <f>C792/100*1</f>
        <v>1</v>
      </c>
      <c r="F792" s="11">
        <f>C792/100*0.6</f>
        <v>0.6</v>
      </c>
      <c r="G792" s="11">
        <f>C792/100*1.5</f>
        <v>1.5</v>
      </c>
      <c r="H792" s="11">
        <f t="shared" ref="H792:H801" si="36">C792/100*0</f>
        <v>0</v>
      </c>
      <c r="I792" s="70"/>
      <c r="J792" s="70"/>
      <c r="K792" s="70"/>
      <c r="L792" s="11">
        <f>C792/100*1.3549504</f>
        <v>1.3549504000000001</v>
      </c>
      <c r="M792" s="19" t="s">
        <v>750</v>
      </c>
    </row>
    <row r="793" spans="2:13">
      <c r="B793" s="81" t="s">
        <v>500</v>
      </c>
      <c r="C793" s="4">
        <v>100</v>
      </c>
      <c r="D793" s="5">
        <f>C793/100*65</f>
        <v>65</v>
      </c>
      <c r="E793" s="11">
        <f>C793/100*2.2</f>
        <v>2.2000000000000002</v>
      </c>
      <c r="F793" s="11">
        <f>C793/100*0.3</f>
        <v>0.3</v>
      </c>
      <c r="G793" s="11">
        <f>C793/100*7.2</f>
        <v>7.2</v>
      </c>
      <c r="H793" s="11">
        <f t="shared" si="36"/>
        <v>0</v>
      </c>
      <c r="I793" s="70">
        <f>C793/100*0.2</f>
        <v>0.2</v>
      </c>
      <c r="J793" s="70">
        <f>C793/100*0.8</f>
        <v>0.8</v>
      </c>
      <c r="K793" s="70">
        <f>C793/100*1</f>
        <v>1</v>
      </c>
      <c r="L793" s="70">
        <f>C793/100*0</f>
        <v>0</v>
      </c>
      <c r="M793" s="3">
        <v>1</v>
      </c>
    </row>
    <row r="794" spans="2:13">
      <c r="B794" s="104" t="s">
        <v>501</v>
      </c>
      <c r="C794" s="4">
        <v>62</v>
      </c>
      <c r="D794" s="5">
        <f>C794/100*108/0.62</f>
        <v>107.99999999999999</v>
      </c>
      <c r="E794" s="11">
        <f>C794/100*7.1/0.62</f>
        <v>7.1000000000000005</v>
      </c>
      <c r="F794" s="11">
        <f>C794/100*4.8/0.62</f>
        <v>4.8</v>
      </c>
      <c r="G794" s="11">
        <f>C794/100*9.1/0.62</f>
        <v>9.1</v>
      </c>
      <c r="H794" s="11">
        <f t="shared" si="36"/>
        <v>0</v>
      </c>
      <c r="I794" s="70"/>
      <c r="J794" s="70"/>
      <c r="K794" s="70"/>
      <c r="L794" s="11">
        <f>C794/100*0.8363578/0.62</f>
        <v>0.83635780000000004</v>
      </c>
      <c r="M794" s="3">
        <v>3</v>
      </c>
    </row>
    <row r="795" spans="2:13">
      <c r="B795" s="104" t="s">
        <v>502</v>
      </c>
      <c r="C795" s="4">
        <v>100</v>
      </c>
      <c r="D795" s="5">
        <f>C795/100*54</f>
        <v>54</v>
      </c>
      <c r="E795" s="11">
        <f>C795/100*0.3</f>
        <v>0.3</v>
      </c>
      <c r="F795" s="11">
        <f>C795/100*0.1</f>
        <v>0.1</v>
      </c>
      <c r="G795" s="11">
        <f>C795/100*14.4</f>
        <v>14.4</v>
      </c>
      <c r="H795" s="11">
        <f t="shared" si="36"/>
        <v>0</v>
      </c>
      <c r="I795" s="70">
        <f>C795/100*0.2</f>
        <v>0.2</v>
      </c>
      <c r="J795" s="70">
        <f>C795/100*0.7</f>
        <v>0.7</v>
      </c>
      <c r="K795" s="70">
        <f>C795/100*0.9</f>
        <v>0.9</v>
      </c>
      <c r="L795" s="70">
        <f>C795/100*0</f>
        <v>0</v>
      </c>
      <c r="M795" s="3">
        <v>2</v>
      </c>
    </row>
    <row r="796" spans="2:13">
      <c r="B796" s="104" t="s">
        <v>503</v>
      </c>
      <c r="C796" s="4">
        <v>100</v>
      </c>
      <c r="D796" s="5">
        <f>C796/100*43</f>
        <v>43</v>
      </c>
      <c r="E796" s="11">
        <f>C796/100*0.3</f>
        <v>0.3</v>
      </c>
      <c r="F796" s="11">
        <f>C796/100*0.1</f>
        <v>0.1</v>
      </c>
      <c r="G796" s="11">
        <f>C796/100*11.3</f>
        <v>11.3</v>
      </c>
      <c r="H796" s="11">
        <f t="shared" si="36"/>
        <v>0</v>
      </c>
      <c r="I796" s="70">
        <f>C796/100*0.7</f>
        <v>0.7</v>
      </c>
      <c r="J796" s="70">
        <f>C796/100*1.2</f>
        <v>1.2</v>
      </c>
      <c r="K796" s="70">
        <f>C796/100*1.9</f>
        <v>1.9</v>
      </c>
      <c r="L796" s="70">
        <f>C796/100*0</f>
        <v>0</v>
      </c>
      <c r="M796" s="3">
        <v>2</v>
      </c>
    </row>
    <row r="797" spans="2:13">
      <c r="B797" s="104" t="s">
        <v>504</v>
      </c>
      <c r="C797" s="4">
        <v>100</v>
      </c>
      <c r="D797" s="5">
        <f>C797/100*22</f>
        <v>22</v>
      </c>
      <c r="E797" s="11">
        <f>C797/100*1.1</f>
        <v>1.1000000000000001</v>
      </c>
      <c r="F797" s="11">
        <f>C797/100*0.1</f>
        <v>0.1</v>
      </c>
      <c r="G797" s="11">
        <f>C797/100*5.1</f>
        <v>5.0999999999999996</v>
      </c>
      <c r="H797" s="11">
        <f t="shared" si="36"/>
        <v>0</v>
      </c>
      <c r="I797" s="70">
        <f>C797/100*0.3</f>
        <v>0.3</v>
      </c>
      <c r="J797" s="70">
        <f>C797/100*1.9</f>
        <v>1.9</v>
      </c>
      <c r="K797" s="70">
        <f>C797/100*2.2</f>
        <v>2.2000000000000002</v>
      </c>
      <c r="L797" s="70">
        <f>C797/100*0</f>
        <v>0</v>
      </c>
      <c r="M797" s="3">
        <v>6</v>
      </c>
    </row>
    <row r="798" spans="2:13">
      <c r="B798" s="104" t="s">
        <v>505</v>
      </c>
      <c r="C798" s="4">
        <v>100</v>
      </c>
      <c r="D798" s="5">
        <f>C798/100*75</f>
        <v>75</v>
      </c>
      <c r="E798" s="11">
        <f>C798/100*4.2</f>
        <v>4.2</v>
      </c>
      <c r="F798" s="11">
        <f>C798/100*3.85</f>
        <v>3.85</v>
      </c>
      <c r="G798" s="11">
        <f>C798/100*5.94</f>
        <v>5.94</v>
      </c>
      <c r="H798" s="11">
        <f t="shared" si="36"/>
        <v>0</v>
      </c>
      <c r="I798" s="70"/>
      <c r="J798" s="70"/>
      <c r="K798" s="70">
        <f>C798/100*1.51</f>
        <v>1.51</v>
      </c>
      <c r="L798" s="11">
        <f>C798/100*2.52</f>
        <v>2.52</v>
      </c>
      <c r="M798" s="3">
        <v>6</v>
      </c>
    </row>
    <row r="799" spans="2:13">
      <c r="B799" s="104" t="s">
        <v>506</v>
      </c>
      <c r="C799" s="4">
        <v>100</v>
      </c>
      <c r="D799" s="5">
        <f>C799/100*19</f>
        <v>19</v>
      </c>
      <c r="E799" s="11">
        <f>C799/100*1</f>
        <v>1</v>
      </c>
      <c r="F799" s="11">
        <f>C799/100*0.1</f>
        <v>0.1</v>
      </c>
      <c r="G799" s="11">
        <f>C799/100*4.5</f>
        <v>4.5</v>
      </c>
      <c r="H799" s="11">
        <f t="shared" si="36"/>
        <v>0</v>
      </c>
      <c r="I799" s="70">
        <f>C799/100*0.7</f>
        <v>0.7</v>
      </c>
      <c r="J799" s="70">
        <f>C799/100*1.4</f>
        <v>1.4</v>
      </c>
      <c r="K799" s="70">
        <f>C799/100*2.1</f>
        <v>2.1</v>
      </c>
      <c r="L799" s="70">
        <f>C799/100*0</f>
        <v>0</v>
      </c>
      <c r="M799" s="3">
        <v>6</v>
      </c>
    </row>
    <row r="800" spans="2:13">
      <c r="B800" s="104" t="s">
        <v>1016</v>
      </c>
      <c r="C800" s="4">
        <v>100</v>
      </c>
      <c r="D800" s="5">
        <f>C800/100*36</f>
        <v>36</v>
      </c>
      <c r="E800" s="11">
        <f>C800/100*4.3</f>
        <v>4.3</v>
      </c>
      <c r="F800" s="11">
        <f>C800/100*0.1</f>
        <v>0.1</v>
      </c>
      <c r="G800" s="11">
        <f>C800/100*0.7</f>
        <v>0.7</v>
      </c>
      <c r="H800" s="11">
        <f t="shared" si="36"/>
        <v>0</v>
      </c>
      <c r="I800" s="70">
        <f>C800/100*0.5</f>
        <v>0.5</v>
      </c>
      <c r="J800" s="70">
        <f>C800/100*4.9</f>
        <v>4.9000000000000004</v>
      </c>
      <c r="K800" s="70">
        <f>C800/100*5.4</f>
        <v>5.4</v>
      </c>
      <c r="L800" s="11">
        <f>C800/100*0</f>
        <v>0</v>
      </c>
      <c r="M800" s="3">
        <v>6</v>
      </c>
    </row>
    <row r="801" spans="2:13">
      <c r="B801" s="104" t="s">
        <v>507</v>
      </c>
      <c r="C801" s="4">
        <v>100</v>
      </c>
      <c r="D801" s="5">
        <f>C801/100*200</f>
        <v>200</v>
      </c>
      <c r="E801" s="11">
        <f>C801/100*16.5</f>
        <v>16.5</v>
      </c>
      <c r="F801" s="11">
        <f>C801/100*10</f>
        <v>10</v>
      </c>
      <c r="G801" s="11">
        <f>C801/100*12.1</f>
        <v>12.1</v>
      </c>
      <c r="H801" s="11">
        <f t="shared" si="36"/>
        <v>0</v>
      </c>
      <c r="I801" s="70">
        <f>C801/100*2.3</f>
        <v>2.2999999999999998</v>
      </c>
      <c r="J801" s="70">
        <f>C801/100*4.4</f>
        <v>4.4000000000000004</v>
      </c>
      <c r="K801" s="70">
        <f>C801/100*6.7</f>
        <v>6.7</v>
      </c>
      <c r="L801" s="11">
        <f>C801/100*0</f>
        <v>0</v>
      </c>
      <c r="M801" s="3">
        <v>3</v>
      </c>
    </row>
    <row r="802" spans="2:13">
      <c r="B802" s="81" t="s">
        <v>1263</v>
      </c>
      <c r="C802" s="4">
        <v>40</v>
      </c>
      <c r="D802" s="5">
        <f>C802/100*80/0.4</f>
        <v>80</v>
      </c>
      <c r="E802" s="11">
        <f>C802/100*6.6/0.4</f>
        <v>6.6</v>
      </c>
      <c r="F802" s="11">
        <f>C802/100*4/0.4</f>
        <v>4</v>
      </c>
      <c r="G802" s="11">
        <f>C802/100*4.9/0.4</f>
        <v>4.9000000000000004</v>
      </c>
      <c r="H802" s="11">
        <f>C802/100*0/0.4</f>
        <v>0</v>
      </c>
      <c r="I802" s="70"/>
      <c r="J802" s="70"/>
      <c r="K802" s="70">
        <f>C802/100*2.7/0.4</f>
        <v>2.7</v>
      </c>
      <c r="L802" s="11">
        <f>C802/100*0/0.4</f>
        <v>0</v>
      </c>
      <c r="M802" s="19">
        <v>3</v>
      </c>
    </row>
    <row r="803" spans="2:13">
      <c r="B803" s="81" t="s">
        <v>1264</v>
      </c>
      <c r="C803" s="4">
        <v>4.5999999999999996</v>
      </c>
      <c r="D803" s="5">
        <f>C803/100*4/0.046</f>
        <v>4</v>
      </c>
      <c r="E803" s="11">
        <f>C803/100*0.3/0.046</f>
        <v>0.3</v>
      </c>
      <c r="F803" s="11">
        <f>C803/100*0/0.046</f>
        <v>0</v>
      </c>
      <c r="G803" s="11">
        <f>C803/100*0.8/0.046</f>
        <v>0.8</v>
      </c>
      <c r="H803" s="11">
        <f>C803/100*0/0.046</f>
        <v>0</v>
      </c>
      <c r="I803" s="70"/>
      <c r="J803" s="70"/>
      <c r="K803" s="70"/>
      <c r="L803" s="11">
        <f>C803/100*0.4/0.046</f>
        <v>0.4</v>
      </c>
      <c r="M803" s="3" t="s">
        <v>747</v>
      </c>
    </row>
    <row r="804" spans="2:13">
      <c r="B804" s="104" t="s">
        <v>508</v>
      </c>
      <c r="C804" s="4">
        <v>100</v>
      </c>
      <c r="D804" s="5">
        <f>C804/100*194</f>
        <v>194</v>
      </c>
      <c r="E804" s="11">
        <f>C804/100*16.6</f>
        <v>16.600000000000001</v>
      </c>
      <c r="F804" s="11">
        <f>C804/100*10</f>
        <v>10</v>
      </c>
      <c r="G804" s="11">
        <f>C804/100*10.5</f>
        <v>10.5</v>
      </c>
      <c r="H804" s="11">
        <f t="shared" ref="H804:H809" si="37">C804/100*0</f>
        <v>0</v>
      </c>
      <c r="I804" s="70">
        <f>C804/100*2</f>
        <v>2</v>
      </c>
      <c r="J804" s="70">
        <f>C804/100*3.9</f>
        <v>3.9</v>
      </c>
      <c r="K804" s="70">
        <f>C804/100*5.9</f>
        <v>5.9</v>
      </c>
      <c r="L804" s="11">
        <f>C804/100*0</f>
        <v>0</v>
      </c>
      <c r="M804" s="3">
        <v>3</v>
      </c>
    </row>
    <row r="805" spans="2:13">
      <c r="B805" s="104" t="s">
        <v>851</v>
      </c>
      <c r="C805" s="4">
        <v>45</v>
      </c>
      <c r="D805" s="5">
        <f>C805/100*91/0.45</f>
        <v>91</v>
      </c>
      <c r="E805" s="11">
        <f>C805/100*7.6/0.45</f>
        <v>7.6</v>
      </c>
      <c r="F805" s="11">
        <f>C805/100*4.5/0.45</f>
        <v>4.5</v>
      </c>
      <c r="G805" s="11">
        <f>C805/100*4.9/0.45</f>
        <v>4.9000000000000004</v>
      </c>
      <c r="H805" s="11">
        <f t="shared" si="37"/>
        <v>0</v>
      </c>
      <c r="I805" s="70"/>
      <c r="J805" s="70"/>
      <c r="K805" s="70"/>
      <c r="L805" s="11">
        <f>C805/100*0/0.45</f>
        <v>0</v>
      </c>
      <c r="M805" s="3">
        <v>3</v>
      </c>
    </row>
    <row r="806" spans="2:13">
      <c r="B806" s="81" t="s">
        <v>1086</v>
      </c>
      <c r="C806" s="4">
        <v>100</v>
      </c>
      <c r="D806" s="5">
        <f>C806/100*40</f>
        <v>40</v>
      </c>
      <c r="E806" s="11">
        <f>C806/100*0.9</f>
        <v>0.9</v>
      </c>
      <c r="F806" s="11">
        <f>C806/100*0.1</f>
        <v>0.1</v>
      </c>
      <c r="G806" s="11">
        <f>C806/100*10</f>
        <v>10</v>
      </c>
      <c r="H806" s="11">
        <f t="shared" si="37"/>
        <v>0</v>
      </c>
      <c r="I806" s="70">
        <f>C806/100*0.4</f>
        <v>0.4</v>
      </c>
      <c r="J806" s="70">
        <f>C806/100*0.8</f>
        <v>0.8</v>
      </c>
      <c r="K806" s="70">
        <f>C806/100*1.2</f>
        <v>1.2</v>
      </c>
      <c r="L806" s="11">
        <f>C806/100*0</f>
        <v>0</v>
      </c>
      <c r="M806" s="3">
        <v>2</v>
      </c>
    </row>
    <row r="807" spans="2:13">
      <c r="B807" s="81" t="s">
        <v>509</v>
      </c>
      <c r="C807" s="4">
        <v>100</v>
      </c>
      <c r="D807" s="5">
        <f>C807/100*33</f>
        <v>33</v>
      </c>
      <c r="E807" s="11">
        <f>C807/100*4.4</f>
        <v>4.4000000000000004</v>
      </c>
      <c r="F807" s="11">
        <f>C807/100*0.2</f>
        <v>0.2</v>
      </c>
      <c r="G807" s="11">
        <f>C807/100*5.8</f>
        <v>5.8</v>
      </c>
      <c r="H807" s="11">
        <f t="shared" si="37"/>
        <v>0</v>
      </c>
      <c r="I807" s="70">
        <f>C807/100*0.7</f>
        <v>0.7</v>
      </c>
      <c r="J807" s="70">
        <f>C807/100*3.5</f>
        <v>3.5</v>
      </c>
      <c r="K807" s="70">
        <f>C807/100*4.2</f>
        <v>4.2</v>
      </c>
      <c r="L807" s="70">
        <f>C807/100*0</f>
        <v>0</v>
      </c>
      <c r="M807" s="3">
        <v>6</v>
      </c>
    </row>
    <row r="808" spans="2:13">
      <c r="B808" s="81" t="s">
        <v>510</v>
      </c>
      <c r="C808" s="4">
        <v>100</v>
      </c>
      <c r="D808" s="5">
        <f>C808/100*28</f>
        <v>28</v>
      </c>
      <c r="E808" s="11">
        <f>C808/100*4.7</f>
        <v>4.7</v>
      </c>
      <c r="F808" s="11">
        <f>C808/100*0.1</f>
        <v>0.1</v>
      </c>
      <c r="G808" s="11">
        <f>C808/100*4.3</f>
        <v>4.3</v>
      </c>
      <c r="H808" s="11">
        <f t="shared" si="37"/>
        <v>0</v>
      </c>
      <c r="I808" s="70">
        <f>C808/100*1.3</f>
        <v>1.3</v>
      </c>
      <c r="J808" s="70">
        <f>C808/100*3</f>
        <v>3</v>
      </c>
      <c r="K808" s="70">
        <f>C808/100*4.3</f>
        <v>4.3</v>
      </c>
      <c r="L808" s="70">
        <f>C808/100*0</f>
        <v>0</v>
      </c>
      <c r="M808" s="3">
        <v>6</v>
      </c>
    </row>
    <row r="809" spans="2:13">
      <c r="B809" s="104" t="s">
        <v>825</v>
      </c>
      <c r="C809" s="4">
        <v>200</v>
      </c>
      <c r="D809" s="5">
        <f>C809/100*316/2</f>
        <v>316</v>
      </c>
      <c r="E809" s="11">
        <f>C809/100*24.8/2</f>
        <v>24.8</v>
      </c>
      <c r="F809" s="11">
        <f>C809/100*22.4/2</f>
        <v>22.4</v>
      </c>
      <c r="G809" s="11">
        <f>C809/100*3.6/2</f>
        <v>3.6</v>
      </c>
      <c r="H809" s="11">
        <f t="shared" si="37"/>
        <v>0</v>
      </c>
      <c r="I809" s="70"/>
      <c r="J809" s="70"/>
      <c r="K809" s="70"/>
      <c r="L809" s="11">
        <f>C809/100*0.0254212/2</f>
        <v>2.5421200000000001E-2</v>
      </c>
      <c r="M809" s="3">
        <v>3</v>
      </c>
    </row>
    <row r="810" spans="2:13">
      <c r="B810" s="104" t="s">
        <v>511</v>
      </c>
      <c r="C810" s="4">
        <v>100</v>
      </c>
      <c r="D810" s="5">
        <f>C810/100*422</f>
        <v>422</v>
      </c>
      <c r="E810" s="11">
        <f>C810/100*1.7</f>
        <v>1.7</v>
      </c>
      <c r="F810" s="11">
        <f>C810/100*38.3</f>
        <v>38.299999999999997</v>
      </c>
      <c r="G810" s="11">
        <f>C810/100*17.6</f>
        <v>17.600000000000001</v>
      </c>
      <c r="H810" s="11">
        <f>C810/100*100</f>
        <v>100</v>
      </c>
      <c r="I810" s="70"/>
      <c r="J810" s="70"/>
      <c r="K810" s="70"/>
      <c r="L810" s="11">
        <f>C810/100*0.1</f>
        <v>0.1</v>
      </c>
      <c r="M810" s="3">
        <v>5</v>
      </c>
    </row>
    <row r="811" spans="2:13">
      <c r="B811" s="104" t="s">
        <v>512</v>
      </c>
      <c r="C811" s="4">
        <v>100</v>
      </c>
      <c r="D811" s="5">
        <f>C811/100*40</f>
        <v>40</v>
      </c>
      <c r="E811" s="11">
        <f>C811/100*0.38</f>
        <v>0.38</v>
      </c>
      <c r="F811" s="11">
        <f>C811/100*0.1</f>
        <v>0.1</v>
      </c>
      <c r="G811" s="11">
        <f>C811/100*9.24</f>
        <v>9.24</v>
      </c>
      <c r="H811" s="11">
        <f t="shared" ref="H811:H818" si="38">C811/100*0</f>
        <v>0</v>
      </c>
      <c r="I811" s="70"/>
      <c r="J811" s="70"/>
      <c r="K811" s="70">
        <f>C811/100*1.22</f>
        <v>1.22</v>
      </c>
      <c r="L811" s="11">
        <f>C811/100*0.62</f>
        <v>0.62</v>
      </c>
      <c r="M811" s="3"/>
    </row>
    <row r="812" spans="2:13">
      <c r="B812" s="104" t="s">
        <v>513</v>
      </c>
      <c r="C812" s="4">
        <v>100</v>
      </c>
      <c r="D812" s="5">
        <f>C812/100*284</f>
        <v>284</v>
      </c>
      <c r="E812" s="11">
        <f>C812/100*10.8</f>
        <v>10.8</v>
      </c>
      <c r="F812" s="11">
        <f>C812/100*0.8</f>
        <v>0.8</v>
      </c>
      <c r="G812" s="11">
        <f>C812/100*58.3</f>
        <v>58.3</v>
      </c>
      <c r="H812" s="11">
        <f t="shared" si="38"/>
        <v>0</v>
      </c>
      <c r="I812" s="70"/>
      <c r="J812" s="70"/>
      <c r="K812" s="70"/>
      <c r="L812" s="11">
        <f>C812/100*1.5506938</f>
        <v>1.5506937999999999</v>
      </c>
      <c r="M812" s="3">
        <v>1</v>
      </c>
    </row>
    <row r="813" spans="2:13">
      <c r="B813" s="104" t="s">
        <v>514</v>
      </c>
      <c r="C813" s="4">
        <v>100</v>
      </c>
      <c r="D813" s="5">
        <f>C813/100*264</f>
        <v>264</v>
      </c>
      <c r="E813" s="11">
        <f>C813/100*9.9</f>
        <v>9.9</v>
      </c>
      <c r="F813" s="11">
        <f>C813/100*1</f>
        <v>1</v>
      </c>
      <c r="G813" s="11">
        <f>C813/100*53.8</f>
        <v>53.8</v>
      </c>
      <c r="H813" s="11">
        <f t="shared" si="38"/>
        <v>0</v>
      </c>
      <c r="I813" s="70"/>
      <c r="J813" s="70"/>
      <c r="K813" s="70"/>
      <c r="L813" s="70">
        <f>C813/100*2.2</f>
        <v>2.2000000000000002</v>
      </c>
      <c r="M813" s="3">
        <v>1</v>
      </c>
    </row>
    <row r="814" spans="2:13">
      <c r="B814" s="104" t="s">
        <v>515</v>
      </c>
      <c r="C814" s="4">
        <v>100</v>
      </c>
      <c r="D814" s="5">
        <f>C814/100*15</f>
        <v>15</v>
      </c>
      <c r="E814" s="11">
        <f>C814/100*1.7</f>
        <v>1.7</v>
      </c>
      <c r="F814" s="11">
        <f>C814/100*0.2</f>
        <v>0.2</v>
      </c>
      <c r="G814" s="11">
        <f>C814/100*5.2</f>
        <v>5.2</v>
      </c>
      <c r="H814" s="11">
        <f t="shared" si="38"/>
        <v>0</v>
      </c>
      <c r="I814" s="70">
        <f>C814/100*1</f>
        <v>1</v>
      </c>
      <c r="J814" s="70">
        <f>C814/100*2.3</f>
        <v>2.2999999999999998</v>
      </c>
      <c r="K814" s="70">
        <f>C814/100*3.3</f>
        <v>3.3</v>
      </c>
      <c r="L814" s="70">
        <f>C814/100*0</f>
        <v>0</v>
      </c>
      <c r="M814" s="3">
        <v>6</v>
      </c>
    </row>
    <row r="815" spans="2:13">
      <c r="B815" s="104" t="s">
        <v>516</v>
      </c>
      <c r="C815" s="4">
        <v>100</v>
      </c>
      <c r="D815" s="5">
        <f>C815/100*14</f>
        <v>14</v>
      </c>
      <c r="E815" s="11">
        <f>C815/100*1.6</f>
        <v>1.6</v>
      </c>
      <c r="F815" s="11">
        <f>C815/100*0.1</f>
        <v>0.1</v>
      </c>
      <c r="G815" s="11">
        <f>C815/100*5.1</f>
        <v>5.0999999999999996</v>
      </c>
      <c r="H815" s="11">
        <f t="shared" si="38"/>
        <v>0</v>
      </c>
      <c r="I815" s="70">
        <f>C815/100*1.1</f>
        <v>1.1000000000000001</v>
      </c>
      <c r="J815" s="70">
        <f>C815/100*1.6</f>
        <v>1.6</v>
      </c>
      <c r="K815" s="70">
        <f>C815/100*2.7</f>
        <v>2.7</v>
      </c>
      <c r="L815" s="70">
        <f>C815/100*0</f>
        <v>0</v>
      </c>
      <c r="M815" s="3">
        <v>6</v>
      </c>
    </row>
    <row r="816" spans="2:13">
      <c r="B816" s="104" t="s">
        <v>1011</v>
      </c>
      <c r="C816" s="4">
        <v>160</v>
      </c>
      <c r="D816" s="5">
        <f>C816/100*151/1.6</f>
        <v>151</v>
      </c>
      <c r="E816" s="11">
        <f>C816/100*15.5/1.6</f>
        <v>15.5</v>
      </c>
      <c r="F816" s="11">
        <f>C816/100*0.8/1.6</f>
        <v>0.80000000000000016</v>
      </c>
      <c r="G816" s="11">
        <f>C816/100*20.5/1.6</f>
        <v>20.5</v>
      </c>
      <c r="H816" s="11">
        <f t="shared" si="38"/>
        <v>0</v>
      </c>
      <c r="I816" s="70"/>
      <c r="J816" s="70"/>
      <c r="K816" s="70"/>
      <c r="L816" s="70">
        <f>C816/100*2.7963331/1.6</f>
        <v>2.7963331</v>
      </c>
      <c r="M816" s="3">
        <v>3</v>
      </c>
    </row>
    <row r="817" spans="2:13">
      <c r="B817" s="104" t="s">
        <v>1010</v>
      </c>
      <c r="C817" s="4">
        <v>100</v>
      </c>
      <c r="D817" s="5">
        <f>C817/100*80</f>
        <v>80</v>
      </c>
      <c r="E817" s="11">
        <f>C817/100*7.6</f>
        <v>7.6</v>
      </c>
      <c r="F817" s="11">
        <f>C817/100*0.4</f>
        <v>0.4</v>
      </c>
      <c r="G817" s="11">
        <f>C817/100*11.6</f>
        <v>11.6</v>
      </c>
      <c r="H817" s="11">
        <f t="shared" si="38"/>
        <v>0</v>
      </c>
      <c r="I817" s="70"/>
      <c r="J817" s="70"/>
      <c r="K817" s="70"/>
      <c r="L817" s="70">
        <f>C817/100*2</f>
        <v>2</v>
      </c>
      <c r="M817" s="3">
        <v>3</v>
      </c>
    </row>
    <row r="818" spans="2:13">
      <c r="B818" s="92" t="s">
        <v>517</v>
      </c>
      <c r="C818" s="4">
        <v>17</v>
      </c>
      <c r="D818" s="5">
        <f>C818/100*83/0.17</f>
        <v>83</v>
      </c>
      <c r="E818" s="11">
        <f>C818/100*3.2/0.17</f>
        <v>3.2</v>
      </c>
      <c r="F818" s="11">
        <f>C818/100*3.6/0.17</f>
        <v>3.6000000000000005</v>
      </c>
      <c r="G818" s="11">
        <f>C818/100*9.5/0.17</f>
        <v>9.5</v>
      </c>
      <c r="H818" s="11">
        <f t="shared" si="38"/>
        <v>0</v>
      </c>
      <c r="I818" s="70"/>
      <c r="J818" s="70"/>
      <c r="K818" s="70"/>
      <c r="L818" s="11">
        <f>C818/100*0.1652378/0.17</f>
        <v>0.16523779999999999</v>
      </c>
      <c r="M818" s="19" t="s">
        <v>751</v>
      </c>
    </row>
    <row r="819" spans="2:13">
      <c r="B819" s="81" t="s">
        <v>518</v>
      </c>
      <c r="C819" s="4">
        <v>100</v>
      </c>
      <c r="D819" s="5">
        <f>C819/100*216</f>
        <v>216</v>
      </c>
      <c r="E819" s="11">
        <f>C819/100*17.4</f>
        <v>17.399999999999999</v>
      </c>
      <c r="F819" s="11">
        <f>C819/100*15.1</f>
        <v>15.1</v>
      </c>
      <c r="G819" s="11">
        <f>C819/100*0.1</f>
        <v>0.1</v>
      </c>
      <c r="H819" s="11">
        <f>C819/100*68</f>
        <v>68</v>
      </c>
      <c r="I819" s="70"/>
      <c r="J819" s="70"/>
      <c r="K819" s="70"/>
      <c r="L819" s="70">
        <f>C819/100*0.3</f>
        <v>0.3</v>
      </c>
      <c r="M819" s="3">
        <v>3</v>
      </c>
    </row>
    <row r="820" spans="2:13">
      <c r="B820" s="104" t="s">
        <v>519</v>
      </c>
      <c r="C820" s="4">
        <v>100</v>
      </c>
      <c r="D820" s="5">
        <f>C820/100*264</f>
        <v>264</v>
      </c>
      <c r="E820" s="11">
        <f>C820/100*18.5</f>
        <v>18.5</v>
      </c>
      <c r="F820" s="11">
        <f>C820/100*19.7</f>
        <v>19.7</v>
      </c>
      <c r="G820" s="11">
        <f>C820/100*0.2</f>
        <v>0.2</v>
      </c>
      <c r="H820" s="11">
        <f>C820/100*85</f>
        <v>85</v>
      </c>
      <c r="I820" s="70"/>
      <c r="J820" s="70"/>
      <c r="K820" s="70"/>
      <c r="L820" s="70">
        <f>C820/100*0.9</f>
        <v>0.9</v>
      </c>
      <c r="M820" s="3">
        <v>3</v>
      </c>
    </row>
    <row r="821" spans="2:13">
      <c r="B821" s="104" t="s">
        <v>520</v>
      </c>
      <c r="C821" s="4">
        <v>100</v>
      </c>
      <c r="D821" s="5">
        <f>C821/100*249</f>
        <v>249</v>
      </c>
      <c r="E821" s="11">
        <f>C821/100*25</f>
        <v>25</v>
      </c>
      <c r="F821" s="11">
        <f>C821/100*8.5</f>
        <v>8.5</v>
      </c>
      <c r="G821" s="11">
        <f>C821/100*16.5</f>
        <v>16.5</v>
      </c>
      <c r="H821" s="11">
        <f>C821/100*78.4</f>
        <v>78.400000000000006</v>
      </c>
      <c r="I821" s="70"/>
      <c r="J821" s="70"/>
      <c r="K821" s="70"/>
      <c r="L821" s="11">
        <f>C821/100*1.5023935</f>
        <v>1.5023934999999999</v>
      </c>
      <c r="M821" s="3">
        <v>3</v>
      </c>
    </row>
    <row r="822" spans="2:13">
      <c r="B822" s="104" t="s">
        <v>521</v>
      </c>
      <c r="C822" s="4">
        <v>100</v>
      </c>
      <c r="D822" s="5">
        <f>C822/100*44</f>
        <v>44</v>
      </c>
      <c r="E822" s="11">
        <f>C822/100*0.6</f>
        <v>0.6</v>
      </c>
      <c r="F822" s="11">
        <f>C822/100*1</f>
        <v>1</v>
      </c>
      <c r="G822" s="11">
        <f>C822/100*9.4</f>
        <v>9.4</v>
      </c>
      <c r="H822" s="11">
        <f t="shared" ref="H822:H849" si="39">C822/100*0</f>
        <v>0</v>
      </c>
      <c r="I822" s="70">
        <f>C822/100*0.4</f>
        <v>0.4</v>
      </c>
      <c r="J822" s="70">
        <f>C822/100*1.2</f>
        <v>1.2</v>
      </c>
      <c r="K822" s="70">
        <f>C822/100*1.6</f>
        <v>1.6</v>
      </c>
      <c r="L822" s="70">
        <f>C822/100*0</f>
        <v>0</v>
      </c>
      <c r="M822" s="3">
        <v>2</v>
      </c>
    </row>
    <row r="823" spans="2:13">
      <c r="B823" s="104" t="s">
        <v>952</v>
      </c>
      <c r="C823" s="4">
        <v>65</v>
      </c>
      <c r="D823" s="5">
        <f>C823/100*121/0.65</f>
        <v>121</v>
      </c>
      <c r="E823" s="11">
        <f>C823/100*3/0.65</f>
        <v>3</v>
      </c>
      <c r="F823" s="11">
        <f>C823/100*0/0.65</f>
        <v>0</v>
      </c>
      <c r="G823" s="11">
        <f>C823/100*29/0.65</f>
        <v>29</v>
      </c>
      <c r="H823" s="11">
        <f t="shared" si="39"/>
        <v>0</v>
      </c>
      <c r="I823" s="70"/>
      <c r="J823" s="70"/>
      <c r="K823" s="70">
        <f>C823/100*3.3/0.65</f>
        <v>3.3</v>
      </c>
      <c r="L823" s="11">
        <f>C823/100*0.1957433/0.65</f>
        <v>0.19574330000000004</v>
      </c>
      <c r="M823" s="19" t="s">
        <v>751</v>
      </c>
    </row>
    <row r="824" spans="2:13">
      <c r="B824" s="104" t="s">
        <v>522</v>
      </c>
      <c r="C824" s="4">
        <v>100</v>
      </c>
      <c r="D824" s="5">
        <f>C824/100*21</f>
        <v>21</v>
      </c>
      <c r="E824" s="11">
        <f>C824/100*1.7</f>
        <v>1.7</v>
      </c>
      <c r="F824" s="11">
        <f>C824/100*0.3</f>
        <v>0.3</v>
      </c>
      <c r="G824" s="11">
        <f>C824/100*4</f>
        <v>4</v>
      </c>
      <c r="H824" s="11">
        <f t="shared" si="39"/>
        <v>0</v>
      </c>
      <c r="I824" s="70">
        <f>C824/100*0.5</f>
        <v>0.5</v>
      </c>
      <c r="J824" s="70">
        <f>C824/100*2.2</f>
        <v>2.2000000000000002</v>
      </c>
      <c r="K824" s="70">
        <f>C824/100*2.7</f>
        <v>2.7</v>
      </c>
      <c r="L824" s="70">
        <f>C824/100*0</f>
        <v>0</v>
      </c>
      <c r="M824" s="3">
        <v>6</v>
      </c>
    </row>
    <row r="825" spans="2:13">
      <c r="B825" s="81" t="s">
        <v>523</v>
      </c>
      <c r="C825" s="4">
        <v>100</v>
      </c>
      <c r="D825" s="5">
        <f>C825/100*37</f>
        <v>37</v>
      </c>
      <c r="E825" s="11">
        <f>C825/100*0.6</f>
        <v>0.6</v>
      </c>
      <c r="F825" s="11">
        <f>C825/100*0.1</f>
        <v>0.1</v>
      </c>
      <c r="G825" s="11">
        <f>C825/100*9.1</f>
        <v>9.1</v>
      </c>
      <c r="H825" s="11">
        <f t="shared" si="39"/>
        <v>0</v>
      </c>
      <c r="I825" s="70">
        <f>C825/100*0.7</f>
        <v>0.7</v>
      </c>
      <c r="J825" s="70">
        <f>C825/100*2</f>
        <v>2</v>
      </c>
      <c r="K825" s="70">
        <f>C825/100*2.7</f>
        <v>2.7</v>
      </c>
      <c r="L825" s="70">
        <f>C825/100*0.1</f>
        <v>0.1</v>
      </c>
      <c r="M825" s="3">
        <v>6</v>
      </c>
    </row>
    <row r="826" spans="2:13">
      <c r="B826" s="81" t="s">
        <v>524</v>
      </c>
      <c r="C826" s="4">
        <v>100</v>
      </c>
      <c r="D826" s="5">
        <f>C826/100*36</f>
        <v>36</v>
      </c>
      <c r="E826" s="11">
        <f>C826/100*0.5</f>
        <v>0.5</v>
      </c>
      <c r="F826" s="11">
        <f>C826/100*0.1</f>
        <v>0.1</v>
      </c>
      <c r="G826" s="11">
        <f>C826/100*8.7</f>
        <v>8.6999999999999993</v>
      </c>
      <c r="H826" s="11">
        <f t="shared" si="39"/>
        <v>0</v>
      </c>
      <c r="I826" s="70">
        <f>C826/100*1.1</f>
        <v>1.1000000000000001</v>
      </c>
      <c r="J826" s="70">
        <f>C826/100*1.8</f>
        <v>1.8</v>
      </c>
      <c r="K826" s="70">
        <f>C826/100*2.9</f>
        <v>2.9</v>
      </c>
      <c r="L826" s="70">
        <f>C826/100*0.1</f>
        <v>0.1</v>
      </c>
      <c r="M826" s="3">
        <v>6</v>
      </c>
    </row>
    <row r="827" spans="2:13">
      <c r="B827" s="81" t="s">
        <v>525</v>
      </c>
      <c r="C827" s="4">
        <v>100</v>
      </c>
      <c r="D827" s="5">
        <f>C827/100*37</f>
        <v>37</v>
      </c>
      <c r="E827" s="11">
        <f>C827/100*0.6</f>
        <v>0.6</v>
      </c>
      <c r="F827" s="11">
        <f>C827/100*0.1</f>
        <v>0.1</v>
      </c>
      <c r="G827" s="11">
        <f>C827/100*9</f>
        <v>9</v>
      </c>
      <c r="H827" s="11">
        <f t="shared" si="39"/>
        <v>0</v>
      </c>
      <c r="I827" s="70">
        <f>C827/100*0.7</f>
        <v>0.7</v>
      </c>
      <c r="J827" s="70">
        <f>C827/100*1.8</f>
        <v>1.8</v>
      </c>
      <c r="K827" s="70">
        <f>C827/100*2.5</f>
        <v>2.5</v>
      </c>
      <c r="L827" s="70">
        <f>C827/100*0.1</f>
        <v>0.1</v>
      </c>
      <c r="M827" s="3">
        <v>6</v>
      </c>
    </row>
    <row r="828" spans="2:13">
      <c r="B828" s="81" t="s">
        <v>526</v>
      </c>
      <c r="C828" s="4">
        <v>100</v>
      </c>
      <c r="D828" s="5">
        <f>C828/100*39</f>
        <v>39</v>
      </c>
      <c r="E828" s="11">
        <f>C828/100*0.6</f>
        <v>0.6</v>
      </c>
      <c r="F828" s="11">
        <f>C828/100*0.1</f>
        <v>0.1</v>
      </c>
      <c r="G828" s="11">
        <f>C828/100*9.6</f>
        <v>9.6</v>
      </c>
      <c r="H828" s="11">
        <f t="shared" si="39"/>
        <v>0</v>
      </c>
      <c r="I828" s="70">
        <f>C828/100*1</f>
        <v>1</v>
      </c>
      <c r="J828" s="70">
        <f>C828/100*2</f>
        <v>2</v>
      </c>
      <c r="K828" s="70">
        <f>C828/100*3</f>
        <v>3</v>
      </c>
      <c r="L828" s="70">
        <f>C828/100*0.1</f>
        <v>0.1</v>
      </c>
      <c r="M828" s="3">
        <v>6</v>
      </c>
    </row>
    <row r="829" spans="2:13">
      <c r="B829" s="104" t="s">
        <v>813</v>
      </c>
      <c r="C829" s="4">
        <v>100</v>
      </c>
      <c r="D829" s="5">
        <f>C829/100*134</f>
        <v>134</v>
      </c>
      <c r="E829" s="11">
        <f>C829/100*6</f>
        <v>6</v>
      </c>
      <c r="F829" s="11">
        <f>C829/100*1.3</f>
        <v>1.3</v>
      </c>
      <c r="G829" s="11">
        <f>C829/100*26.3</f>
        <v>26.3</v>
      </c>
      <c r="H829" s="11">
        <f t="shared" si="39"/>
        <v>0</v>
      </c>
      <c r="I829" s="70">
        <f>C829/100*3.7</f>
        <v>3.7</v>
      </c>
      <c r="J829" s="70">
        <f>C829/100*2</f>
        <v>2</v>
      </c>
      <c r="K829" s="70">
        <f>C829/100*5.7</f>
        <v>5.7</v>
      </c>
      <c r="L829" s="11">
        <f>C829/100*0</f>
        <v>0</v>
      </c>
      <c r="M829" s="3">
        <v>6</v>
      </c>
    </row>
    <row r="830" spans="2:13">
      <c r="B830" s="81" t="s">
        <v>527</v>
      </c>
      <c r="C830" s="4">
        <v>100</v>
      </c>
      <c r="D830" s="5">
        <f>C830/100*28</f>
        <v>28</v>
      </c>
      <c r="E830" s="11">
        <f>C830/100*6.5</f>
        <v>6.5</v>
      </c>
      <c r="F830" s="11">
        <f>C830/100*0.1</f>
        <v>0.1</v>
      </c>
      <c r="G830" s="11">
        <f>C830/100*7.2</f>
        <v>7.2</v>
      </c>
      <c r="H830" s="11">
        <f t="shared" si="39"/>
        <v>0</v>
      </c>
      <c r="I830" s="70">
        <f>C830/100*0.2</f>
        <v>0.2</v>
      </c>
      <c r="J830" s="70">
        <f>C830/100*2</f>
        <v>2</v>
      </c>
      <c r="K830" s="70">
        <f>C830/100*2.2</f>
        <v>2.2000000000000002</v>
      </c>
      <c r="L830" s="70">
        <f>C830/100*0</f>
        <v>0</v>
      </c>
      <c r="M830" s="3">
        <v>6</v>
      </c>
    </row>
    <row r="831" spans="2:13">
      <c r="B831" s="104" t="s">
        <v>881</v>
      </c>
      <c r="C831" s="4">
        <v>100</v>
      </c>
      <c r="D831" s="5">
        <f>C831/100*43</f>
        <v>43</v>
      </c>
      <c r="E831" s="11">
        <f>C831/100*0.7</f>
        <v>0.7</v>
      </c>
      <c r="F831" s="11">
        <f>C831/100*0.3</f>
        <v>0.3</v>
      </c>
      <c r="G831" s="11">
        <f>C831/100*10.7</f>
        <v>10.7</v>
      </c>
      <c r="H831" s="11">
        <f t="shared" si="39"/>
        <v>0</v>
      </c>
      <c r="I831" s="70">
        <f>C831/100*0.7</f>
        <v>0.7</v>
      </c>
      <c r="J831" s="70">
        <f>C831/100*1</f>
        <v>1</v>
      </c>
      <c r="K831" s="70">
        <f>C831/100*1.7</f>
        <v>1.7</v>
      </c>
      <c r="L831" s="11">
        <f>C831/100*0</f>
        <v>0</v>
      </c>
      <c r="M831" s="19">
        <v>2</v>
      </c>
    </row>
    <row r="832" spans="2:13">
      <c r="B832" s="81" t="s">
        <v>1252</v>
      </c>
      <c r="C832" s="4">
        <v>100</v>
      </c>
      <c r="D832" s="5">
        <f>C832/100*27</f>
        <v>27</v>
      </c>
      <c r="E832" s="11">
        <f>C832/100*3.9</f>
        <v>3.9</v>
      </c>
      <c r="F832" s="11">
        <f>C832/100*0</f>
        <v>0</v>
      </c>
      <c r="G832" s="11">
        <f>C832/100*2.8</f>
        <v>2.8</v>
      </c>
      <c r="H832" s="11">
        <f t="shared" si="39"/>
        <v>0</v>
      </c>
      <c r="I832" s="70"/>
      <c r="J832" s="70"/>
      <c r="K832" s="70"/>
      <c r="L832" s="11">
        <f>C832/100*12.710605</f>
        <v>12.710604999999999</v>
      </c>
      <c r="M832" s="3" t="s">
        <v>747</v>
      </c>
    </row>
    <row r="833" spans="2:13">
      <c r="B833" s="104" t="s">
        <v>528</v>
      </c>
      <c r="C833" s="4">
        <v>100</v>
      </c>
      <c r="D833" s="5">
        <f>C833/100*20</f>
        <v>20</v>
      </c>
      <c r="E833" s="11">
        <f>C833/100*1.9</f>
        <v>1.9</v>
      </c>
      <c r="F833" s="11">
        <f>C833/100*0.1</f>
        <v>0.1</v>
      </c>
      <c r="G833" s="11">
        <f>C833/100*4.1</f>
        <v>4.0999999999999996</v>
      </c>
      <c r="H833" s="11">
        <f t="shared" si="39"/>
        <v>0</v>
      </c>
      <c r="I833" s="70">
        <f>C833/100*0.5</f>
        <v>0.5</v>
      </c>
      <c r="J833" s="70">
        <f>C833/100*2.4</f>
        <v>2.4</v>
      </c>
      <c r="K833" s="70">
        <f>C833/100*2.9</f>
        <v>2.9</v>
      </c>
      <c r="L833" s="11">
        <f>C833/100*0</f>
        <v>0</v>
      </c>
      <c r="M833" s="3">
        <v>6</v>
      </c>
    </row>
    <row r="834" spans="2:13">
      <c r="B834" s="104" t="s">
        <v>529</v>
      </c>
      <c r="C834" s="4">
        <v>100</v>
      </c>
      <c r="D834" s="5">
        <f>C834/100*20</f>
        <v>20</v>
      </c>
      <c r="E834" s="11">
        <f>C834/100*2.3</f>
        <v>2.2999999999999998</v>
      </c>
      <c r="F834" s="11">
        <f>C834/100*0.1</f>
        <v>0.1</v>
      </c>
      <c r="G834" s="11">
        <f>C834/100*3.9</f>
        <v>3.9</v>
      </c>
      <c r="H834" s="11">
        <f t="shared" si="39"/>
        <v>0</v>
      </c>
      <c r="I834" s="70">
        <f>C834/100*0.6</f>
        <v>0.6</v>
      </c>
      <c r="J834" s="70">
        <f>C834/100*2.7</f>
        <v>2.7</v>
      </c>
      <c r="K834" s="70">
        <f>C834/100*3.3</f>
        <v>3.3</v>
      </c>
      <c r="L834" s="11">
        <f>C834/100*0</f>
        <v>0</v>
      </c>
      <c r="M834" s="3">
        <v>6</v>
      </c>
    </row>
    <row r="835" spans="2:13">
      <c r="B835" s="104" t="s">
        <v>530</v>
      </c>
      <c r="C835" s="4">
        <v>100</v>
      </c>
      <c r="D835" s="5">
        <f>C835/100*265</f>
        <v>265</v>
      </c>
      <c r="E835" s="11">
        <f>C835/100*3.3</f>
        <v>3.3</v>
      </c>
      <c r="F835" s="11">
        <f>C835/100*10.3</f>
        <v>10.3</v>
      </c>
      <c r="G835" s="11">
        <f>C835/100*39.8</f>
        <v>39.799999999999997</v>
      </c>
      <c r="H835" s="11">
        <f t="shared" si="39"/>
        <v>0</v>
      </c>
      <c r="I835" s="70"/>
      <c r="J835" s="70"/>
      <c r="K835" s="70"/>
      <c r="L835" s="11">
        <f>C835/100*6.1010904</f>
        <v>6.1010904000000004</v>
      </c>
      <c r="M835" s="3"/>
    </row>
    <row r="836" spans="2:13">
      <c r="B836" s="104" t="s">
        <v>531</v>
      </c>
      <c r="C836" s="4">
        <v>100</v>
      </c>
      <c r="D836" s="5">
        <f>C836/100*361</f>
        <v>361</v>
      </c>
      <c r="E836" s="11">
        <f>C836/100*4.8</f>
        <v>4.8</v>
      </c>
      <c r="F836" s="11">
        <f>C836/100*24.64</f>
        <v>24.64</v>
      </c>
      <c r="G836" s="11">
        <f>C836/100*29.2</f>
        <v>29.2</v>
      </c>
      <c r="H836" s="11">
        <f t="shared" si="39"/>
        <v>0</v>
      </c>
      <c r="I836" s="70"/>
      <c r="J836" s="70"/>
      <c r="K836" s="70">
        <f>C836/100*0.23</f>
        <v>0.23</v>
      </c>
      <c r="L836" s="11">
        <f>C836/100*0.2155718</f>
        <v>0.21557180000000001</v>
      </c>
      <c r="M836" s="19" t="s">
        <v>751</v>
      </c>
    </row>
    <row r="837" spans="2:13">
      <c r="B837" s="80" t="s">
        <v>532</v>
      </c>
      <c r="C837" s="4">
        <v>100</v>
      </c>
      <c r="D837" s="5">
        <f>C837/100*84</f>
        <v>84</v>
      </c>
      <c r="E837" s="11">
        <f>C837/100*0.4</f>
        <v>0.4</v>
      </c>
      <c r="F837" s="11">
        <f>C837/100*0.1</f>
        <v>0.1</v>
      </c>
      <c r="G837" s="11">
        <f>C837/100*20.3</f>
        <v>20.3</v>
      </c>
      <c r="H837" s="11">
        <f t="shared" si="39"/>
        <v>0</v>
      </c>
      <c r="I837" s="70">
        <f>C837/100*0</f>
        <v>0</v>
      </c>
      <c r="J837" s="70">
        <f>C837/100*0.5</f>
        <v>0.5</v>
      </c>
      <c r="K837" s="70">
        <f>C837/100*0.5</f>
        <v>0.5</v>
      </c>
      <c r="L837" s="11">
        <f>C837/100*0</f>
        <v>0</v>
      </c>
      <c r="M837" s="3">
        <v>2</v>
      </c>
    </row>
    <row r="838" spans="2:13">
      <c r="B838" s="80" t="s">
        <v>533</v>
      </c>
      <c r="C838" s="4">
        <v>100</v>
      </c>
      <c r="D838" s="5">
        <f>C838/100*51</f>
        <v>51</v>
      </c>
      <c r="E838" s="11">
        <f>C838/100*0.6</f>
        <v>0.6</v>
      </c>
      <c r="F838" s="11">
        <f>C838/100*0.1</f>
        <v>0.1</v>
      </c>
      <c r="G838" s="11">
        <f>C838/100*13.4</f>
        <v>13.4</v>
      </c>
      <c r="H838" s="11">
        <f t="shared" si="39"/>
        <v>0</v>
      </c>
      <c r="I838" s="70">
        <f>C838/100*0.1</f>
        <v>0.1</v>
      </c>
      <c r="J838" s="70">
        <f>C838/100*1.4</f>
        <v>1.4</v>
      </c>
      <c r="K838" s="70">
        <f>C838/100*1.5</f>
        <v>1.5</v>
      </c>
      <c r="L838" s="11">
        <f>C838/100*0</f>
        <v>0</v>
      </c>
      <c r="M838" s="3">
        <v>2</v>
      </c>
    </row>
    <row r="839" spans="2:13">
      <c r="B839" s="104" t="s">
        <v>534</v>
      </c>
      <c r="C839" s="4">
        <v>50.4</v>
      </c>
      <c r="D839" s="5">
        <f>C839/100*199/0.504</f>
        <v>199</v>
      </c>
      <c r="E839" s="11">
        <f>C839/100*2.81/0.504</f>
        <v>2.81</v>
      </c>
      <c r="F839" s="11">
        <f>C839/100*11.12/0.504</f>
        <v>11.12</v>
      </c>
      <c r="G839" s="11">
        <f>C839/100*21.24/0.504</f>
        <v>21.24</v>
      </c>
      <c r="H839" s="11">
        <f t="shared" si="39"/>
        <v>0</v>
      </c>
      <c r="I839" s="70"/>
      <c r="J839" s="70"/>
      <c r="K839" s="70">
        <f>C839/100*0.28/0.504</f>
        <v>0.28000000000000003</v>
      </c>
      <c r="L839" s="11">
        <f>C839/100*0.11/0.504</f>
        <v>0.11</v>
      </c>
      <c r="M839" s="19" t="s">
        <v>751</v>
      </c>
    </row>
    <row r="840" spans="2:13">
      <c r="B840" s="104" t="s">
        <v>980</v>
      </c>
      <c r="C840" s="4">
        <v>100</v>
      </c>
      <c r="D840" s="5">
        <f>C840/100*395</f>
        <v>395</v>
      </c>
      <c r="E840" s="11">
        <f>C840/100*5.58</f>
        <v>5.58</v>
      </c>
      <c r="F840" s="11">
        <f>C840/100*22.06</f>
        <v>22.06</v>
      </c>
      <c r="G840" s="11">
        <f>C840/100*42.14</f>
        <v>42.14</v>
      </c>
      <c r="H840" s="11">
        <f t="shared" si="39"/>
        <v>0</v>
      </c>
      <c r="I840" s="70"/>
      <c r="J840" s="70"/>
      <c r="K840" s="70">
        <f>C840/100*0.56</f>
        <v>0.56000000000000005</v>
      </c>
      <c r="L840" s="11">
        <f>C840/100*0.2162328</f>
        <v>0.2162328</v>
      </c>
      <c r="M840" s="19" t="s">
        <v>751</v>
      </c>
    </row>
    <row r="841" spans="2:13">
      <c r="B841" s="104" t="s">
        <v>535</v>
      </c>
      <c r="C841" s="4">
        <v>100</v>
      </c>
      <c r="D841" s="5">
        <f>C841/100*14</f>
        <v>14</v>
      </c>
      <c r="E841" s="11">
        <f>C841/100*0.8</f>
        <v>0.8</v>
      </c>
      <c r="F841" s="11">
        <f>C841/100*0.1</f>
        <v>0.1</v>
      </c>
      <c r="G841" s="11">
        <f>C841/100*3.2</f>
        <v>3.2</v>
      </c>
      <c r="H841" s="11">
        <f t="shared" si="39"/>
        <v>0</v>
      </c>
      <c r="I841" s="70">
        <f>C841/100*0.3</f>
        <v>0.3</v>
      </c>
      <c r="J841" s="70">
        <f>C841/100*1</f>
        <v>1</v>
      </c>
      <c r="K841" s="70">
        <f>C841/100*1.3</f>
        <v>1.3</v>
      </c>
      <c r="L841" s="11">
        <f>C841/100*0</f>
        <v>0</v>
      </c>
      <c r="M841" s="3">
        <v>6</v>
      </c>
    </row>
    <row r="842" spans="2:13">
      <c r="B842" s="104" t="s">
        <v>536</v>
      </c>
      <c r="C842" s="4">
        <v>100</v>
      </c>
      <c r="D842" s="5">
        <f>C842/100*13</f>
        <v>13</v>
      </c>
      <c r="E842" s="11">
        <f>C842/100*0.9</f>
        <v>0.9</v>
      </c>
      <c r="F842" s="11">
        <f>C842/100*0.1</f>
        <v>0.1</v>
      </c>
      <c r="G842" s="11">
        <f>C842/100*2.9</f>
        <v>2.9</v>
      </c>
      <c r="H842" s="11">
        <f t="shared" si="39"/>
        <v>0</v>
      </c>
      <c r="I842" s="70">
        <f>C842/100*0.4</f>
        <v>0.4</v>
      </c>
      <c r="J842" s="70">
        <f>C842/100*1</f>
        <v>1</v>
      </c>
      <c r="K842" s="70">
        <f>C842/100*1.4</f>
        <v>1.4</v>
      </c>
      <c r="L842" s="11">
        <f>C842/100*0</f>
        <v>0</v>
      </c>
      <c r="M842" s="3">
        <v>6</v>
      </c>
    </row>
    <row r="843" spans="2:13">
      <c r="B843" s="104" t="s">
        <v>788</v>
      </c>
      <c r="C843" s="4">
        <v>100</v>
      </c>
      <c r="D843" s="5">
        <f>C843/100*368</f>
        <v>368</v>
      </c>
      <c r="E843" s="11">
        <f>C843/100*8</f>
        <v>8</v>
      </c>
      <c r="F843" s="11">
        <f>C843/100*1.7</f>
        <v>1.7</v>
      </c>
      <c r="G843" s="11">
        <f>C843/100*75.9</f>
        <v>75.900000000000006</v>
      </c>
      <c r="H843" s="11">
        <f t="shared" si="39"/>
        <v>0</v>
      </c>
      <c r="I843" s="70"/>
      <c r="J843" s="70"/>
      <c r="K843" s="70">
        <f>C843/100*2.5</f>
        <v>2.5</v>
      </c>
      <c r="L843" s="11">
        <f>C843/100*0.0050842</f>
        <v>5.0841999999999997E-3</v>
      </c>
      <c r="M843" s="3">
        <v>1</v>
      </c>
    </row>
    <row r="844" spans="2:13">
      <c r="B844" s="104" t="s">
        <v>1110</v>
      </c>
      <c r="C844" s="4">
        <v>100</v>
      </c>
      <c r="D844" s="5">
        <f>C844/100*397</f>
        <v>397</v>
      </c>
      <c r="E844" s="11">
        <f>C844/100*3.3</f>
        <v>3.3</v>
      </c>
      <c r="F844" s="11">
        <f>C844/100*2.9</f>
        <v>2.9</v>
      </c>
      <c r="G844" s="11">
        <f>C844/100*89.3</f>
        <v>89.3</v>
      </c>
      <c r="H844" s="11">
        <f t="shared" si="39"/>
        <v>0</v>
      </c>
      <c r="I844" s="70"/>
      <c r="J844" s="70"/>
      <c r="K844" s="70"/>
      <c r="L844" s="11">
        <f>C844/100*0.8719475</f>
        <v>0.87194749999999999</v>
      </c>
      <c r="M844" s="19" t="s">
        <v>751</v>
      </c>
    </row>
    <row r="845" spans="2:13">
      <c r="B845" s="104" t="s">
        <v>1123</v>
      </c>
      <c r="C845" s="4">
        <v>100</v>
      </c>
      <c r="D845" s="5">
        <f>C845/100*408</f>
        <v>408</v>
      </c>
      <c r="E845" s="11">
        <f>C845/100*4.6</f>
        <v>4.5999999999999996</v>
      </c>
      <c r="F845" s="11">
        <f>C845/100*3.7</f>
        <v>3.7</v>
      </c>
      <c r="G845" s="11">
        <f>C845/100*89</f>
        <v>89</v>
      </c>
      <c r="H845" s="11">
        <f t="shared" si="39"/>
        <v>0</v>
      </c>
      <c r="I845" s="70"/>
      <c r="J845" s="70"/>
      <c r="K845" s="70"/>
      <c r="L845" s="11">
        <f>C845/100*0.8</f>
        <v>0.8</v>
      </c>
      <c r="M845" s="3">
        <v>6</v>
      </c>
    </row>
    <row r="846" spans="2:13">
      <c r="B846" s="104" t="s">
        <v>1249</v>
      </c>
      <c r="C846" s="4">
        <v>100</v>
      </c>
      <c r="D846" s="5">
        <f>C846/100*408</f>
        <v>408</v>
      </c>
      <c r="E846" s="11">
        <f>C846/100*4.6</f>
        <v>4.5999999999999996</v>
      </c>
      <c r="F846" s="11">
        <f>C846/100*3.7</f>
        <v>3.7</v>
      </c>
      <c r="G846" s="11">
        <f>C846/100*98.375</f>
        <v>98.375</v>
      </c>
      <c r="H846" s="11">
        <f t="shared" si="39"/>
        <v>0</v>
      </c>
      <c r="I846" s="70"/>
      <c r="J846" s="70"/>
      <c r="K846" s="70">
        <f>C846/100*9.3</f>
        <v>9.3000000000000007</v>
      </c>
      <c r="L846" s="11">
        <f>C846/100*0.8</f>
        <v>0.8</v>
      </c>
      <c r="M846" s="3">
        <v>6</v>
      </c>
    </row>
    <row r="847" spans="2:13">
      <c r="B847" s="104" t="s">
        <v>990</v>
      </c>
      <c r="C847" s="4">
        <v>100</v>
      </c>
      <c r="D847" s="5">
        <f>C847/100*408</f>
        <v>408</v>
      </c>
      <c r="E847" s="11">
        <f>C847/100*5.3</f>
        <v>5.3</v>
      </c>
      <c r="F847" s="11">
        <f>C847/100*4.2</f>
        <v>4.2</v>
      </c>
      <c r="G847" s="11">
        <f>C847/100*87.3</f>
        <v>87.3</v>
      </c>
      <c r="H847" s="11">
        <f t="shared" si="39"/>
        <v>0</v>
      </c>
      <c r="I847" s="70"/>
      <c r="J847" s="70"/>
      <c r="K847" s="70">
        <f>C847/100*0.1</f>
        <v>0.1</v>
      </c>
      <c r="L847" s="11">
        <f>C847/100*0.8109365</f>
        <v>0.81093649999999995</v>
      </c>
      <c r="M847" s="3">
        <v>6</v>
      </c>
    </row>
    <row r="848" spans="2:13">
      <c r="B848" s="104" t="s">
        <v>1019</v>
      </c>
      <c r="C848" s="4">
        <v>100</v>
      </c>
      <c r="D848" s="5">
        <f>C848/100*15</f>
        <v>15</v>
      </c>
      <c r="E848" s="11">
        <f>C848/100*2.1</f>
        <v>2.1</v>
      </c>
      <c r="F848" s="11">
        <f>C848/100*0.1</f>
        <v>0.1</v>
      </c>
      <c r="G848" s="11">
        <f>C848/100*2.5</f>
        <v>2.5</v>
      </c>
      <c r="H848" s="11">
        <f t="shared" si="39"/>
        <v>0</v>
      </c>
      <c r="I848" s="70">
        <f>C848/100*0.2</f>
        <v>0.2</v>
      </c>
      <c r="J848" s="70">
        <f>C848/100*2.3</f>
        <v>2.2999999999999998</v>
      </c>
      <c r="K848" s="70">
        <f>C848/100*2.5</f>
        <v>2.5</v>
      </c>
      <c r="L848" s="11">
        <f>C848/100*0.1</f>
        <v>0.1</v>
      </c>
      <c r="M848" s="3">
        <v>6</v>
      </c>
    </row>
    <row r="849" spans="2:13">
      <c r="B849" s="104" t="s">
        <v>814</v>
      </c>
      <c r="C849" s="4">
        <v>100</v>
      </c>
      <c r="D849" s="5">
        <f>C849/100*44</f>
        <v>44</v>
      </c>
      <c r="E849" s="11">
        <f>C849/100*3.7</f>
        <v>3.7</v>
      </c>
      <c r="F849" s="11">
        <f>C849/100*0.7</f>
        <v>0.7</v>
      </c>
      <c r="G849" s="11">
        <f>C849/100*8.2</f>
        <v>8.1999999999999993</v>
      </c>
      <c r="H849" s="11">
        <f t="shared" si="39"/>
        <v>0</v>
      </c>
      <c r="I849" s="70">
        <f>C849/100*0.6</f>
        <v>0.6</v>
      </c>
      <c r="J849" s="70">
        <f>C849/100*6.2</f>
        <v>6.2</v>
      </c>
      <c r="K849" s="70">
        <f>C849/100*6.8</f>
        <v>6.8</v>
      </c>
      <c r="L849" s="11">
        <f>C849/100*0</f>
        <v>0</v>
      </c>
      <c r="M849" s="3">
        <v>6</v>
      </c>
    </row>
    <row r="850" spans="2:13">
      <c r="B850" s="104" t="s">
        <v>822</v>
      </c>
      <c r="C850" s="4">
        <v>100</v>
      </c>
      <c r="D850" s="5">
        <f>C850/100*763</f>
        <v>763</v>
      </c>
      <c r="E850" s="11">
        <f>C850/100*0.5</f>
        <v>0.5</v>
      </c>
      <c r="F850" s="11">
        <f>C850/100*83</f>
        <v>83</v>
      </c>
      <c r="G850" s="11">
        <f>C850/100*0.2</f>
        <v>0.2</v>
      </c>
      <c r="H850" s="11">
        <f>C850/100*220</f>
        <v>220</v>
      </c>
      <c r="I850" s="70"/>
      <c r="J850" s="70"/>
      <c r="K850" s="70"/>
      <c r="L850" s="11">
        <f>C850/100*0</f>
        <v>0</v>
      </c>
      <c r="M850" s="3">
        <v>5</v>
      </c>
    </row>
    <row r="851" spans="2:13">
      <c r="B851" s="104" t="s">
        <v>810</v>
      </c>
      <c r="C851" s="4">
        <v>100</v>
      </c>
      <c r="D851" s="5">
        <f>C851/100*745</f>
        <v>745</v>
      </c>
      <c r="E851" s="11">
        <f>C851/100*0.6</f>
        <v>0.6</v>
      </c>
      <c r="F851" s="11">
        <f>C851/100*81</f>
        <v>81</v>
      </c>
      <c r="G851" s="11">
        <f>C851/100*0.2</f>
        <v>0.2</v>
      </c>
      <c r="H851" s="11">
        <f>C851/100*210</f>
        <v>210</v>
      </c>
      <c r="I851" s="70"/>
      <c r="J851" s="70"/>
      <c r="K851" s="70"/>
      <c r="L851" s="11">
        <f>C851/100*1.9065907</f>
        <v>1.9065907</v>
      </c>
      <c r="M851" s="3">
        <v>5</v>
      </c>
    </row>
    <row r="852" spans="2:13">
      <c r="B852" s="104" t="s">
        <v>810</v>
      </c>
      <c r="C852" s="4">
        <v>100</v>
      </c>
      <c r="D852" s="5">
        <f>C852/100*745</f>
        <v>745</v>
      </c>
      <c r="E852" s="11">
        <f>C852/100*0.6</f>
        <v>0.6</v>
      </c>
      <c r="F852" s="11">
        <f>C852/100*81</f>
        <v>81</v>
      </c>
      <c r="G852" s="11">
        <f>C852/100*0.2</f>
        <v>0.2</v>
      </c>
      <c r="H852" s="11">
        <f>C852/100*210</f>
        <v>210</v>
      </c>
      <c r="I852" s="70"/>
      <c r="J852" s="70"/>
      <c r="K852" s="70"/>
      <c r="L852" s="11">
        <f>C852/100*1.9065907</f>
        <v>1.9065907</v>
      </c>
      <c r="M852" s="3">
        <v>5</v>
      </c>
    </row>
    <row r="853" spans="2:13">
      <c r="B853" s="80" t="s">
        <v>537</v>
      </c>
      <c r="C853" s="4">
        <v>9.1999999999999993</v>
      </c>
      <c r="D853" s="5">
        <f>C853/100*47/0.092</f>
        <v>47</v>
      </c>
      <c r="E853" s="11">
        <f>C853/100*0.6/0.092</f>
        <v>0.6</v>
      </c>
      <c r="F853" s="11">
        <f>C853/100*2.2/0.092</f>
        <v>2.2000000000000002</v>
      </c>
      <c r="G853" s="11">
        <f>C853/100*6.1/0.092</f>
        <v>6.1</v>
      </c>
      <c r="H853" s="11">
        <f>C853/100*0</f>
        <v>0</v>
      </c>
      <c r="I853" s="70"/>
      <c r="J853" s="70"/>
      <c r="K853" s="70"/>
      <c r="L853" s="11">
        <f>C853/100*0.0330475/0.092</f>
        <v>3.30475E-2</v>
      </c>
      <c r="M853" s="19" t="s">
        <v>751</v>
      </c>
    </row>
    <row r="854" spans="2:13">
      <c r="B854" s="104" t="s">
        <v>799</v>
      </c>
      <c r="C854" s="4">
        <v>100</v>
      </c>
      <c r="D854" s="5">
        <f>C854/100*294</f>
        <v>294</v>
      </c>
      <c r="E854" s="11">
        <f>C854/100*0.2</f>
        <v>0.2</v>
      </c>
      <c r="F854" s="11">
        <f>C854/100*0</f>
        <v>0</v>
      </c>
      <c r="G854" s="11">
        <f>C854/100*79.7</f>
        <v>79.7</v>
      </c>
      <c r="H854" s="11">
        <f>C854/100*0</f>
        <v>0</v>
      </c>
      <c r="I854" s="70"/>
      <c r="J854" s="70"/>
      <c r="K854" s="70"/>
      <c r="L854" s="11">
        <f>C854/100*0.0177948</f>
        <v>1.77948E-2</v>
      </c>
      <c r="M854" s="19" t="s">
        <v>750</v>
      </c>
    </row>
    <row r="855" spans="2:13">
      <c r="B855" s="104" t="s">
        <v>538</v>
      </c>
      <c r="C855" s="4">
        <v>25</v>
      </c>
      <c r="D855" s="5">
        <f>C855/100*133/0.25</f>
        <v>133</v>
      </c>
      <c r="E855" s="11">
        <f>C855/100*1.2/0.25</f>
        <v>1.2</v>
      </c>
      <c r="F855" s="11">
        <f>C855/100*7.3/0.25</f>
        <v>7.3</v>
      </c>
      <c r="G855" s="11">
        <f>C855/100*15.7/0.25</f>
        <v>15.7</v>
      </c>
      <c r="H855" s="11">
        <f>C855/100*0</f>
        <v>0</v>
      </c>
      <c r="I855" s="70"/>
      <c r="J855" s="70"/>
      <c r="K855" s="70"/>
      <c r="L855" s="11">
        <f>C855/100*0.022879/0.25</f>
        <v>2.2879E-2</v>
      </c>
      <c r="M855" s="19" t="s">
        <v>751</v>
      </c>
    </row>
    <row r="856" spans="2:13">
      <c r="B856" s="104" t="s">
        <v>539</v>
      </c>
      <c r="C856" s="4">
        <v>100</v>
      </c>
      <c r="D856" s="5">
        <f>C856/100*531</f>
        <v>531</v>
      </c>
      <c r="E856" s="11">
        <f>C856/100*4.7</f>
        <v>4.7</v>
      </c>
      <c r="F856" s="11">
        <f>C856/100*29.1</f>
        <v>29.1</v>
      </c>
      <c r="G856" s="11">
        <f>C856/100*62.6</f>
        <v>62.6</v>
      </c>
      <c r="H856" s="11">
        <f>C856/100*0</f>
        <v>0</v>
      </c>
      <c r="I856" s="70"/>
      <c r="J856" s="70"/>
      <c r="K856" s="70"/>
      <c r="L856" s="11">
        <f>C856/100*0.092</f>
        <v>9.1999999999999998E-2</v>
      </c>
      <c r="M856" s="19" t="s">
        <v>751</v>
      </c>
    </row>
    <row r="857" spans="2:13">
      <c r="B857" s="104" t="s">
        <v>540</v>
      </c>
      <c r="C857" s="4">
        <v>100</v>
      </c>
      <c r="D857" s="5">
        <f>C857/100*45</f>
        <v>45</v>
      </c>
      <c r="E857" s="11">
        <f>C857/100*0.8</f>
        <v>0.8</v>
      </c>
      <c r="F857" s="11">
        <f>C857/100*0.1</f>
        <v>0.1</v>
      </c>
      <c r="G857" s="11">
        <f>C857/100*11.5</f>
        <v>11.5</v>
      </c>
      <c r="H857" s="11">
        <f>C857/100*0</f>
        <v>0</v>
      </c>
      <c r="I857" s="70">
        <f>C857/100*0.2</f>
        <v>0.2</v>
      </c>
      <c r="J857" s="70">
        <f>C857/100*1.3</f>
        <v>1.3</v>
      </c>
      <c r="K857" s="70">
        <f>C857/100*1.5</f>
        <v>1.5</v>
      </c>
      <c r="L857" s="70">
        <f>C857/100*0</f>
        <v>0</v>
      </c>
      <c r="M857" s="3">
        <v>6</v>
      </c>
    </row>
    <row r="858" spans="2:13">
      <c r="B858" s="104" t="s">
        <v>876</v>
      </c>
      <c r="C858" s="4">
        <v>100</v>
      </c>
      <c r="D858" s="5">
        <f>C858/100*350</f>
        <v>350</v>
      </c>
      <c r="E858" s="11">
        <f>C858/100*77.8</f>
        <v>77.8</v>
      </c>
      <c r="F858" s="11">
        <f>C858/100*3.2</f>
        <v>3.2</v>
      </c>
      <c r="G858" s="11">
        <f>C858/100*1.9</f>
        <v>1.9</v>
      </c>
      <c r="H858" s="11">
        <f>C858/100*180</f>
        <v>180</v>
      </c>
      <c r="I858" s="70"/>
      <c r="J858" s="70"/>
      <c r="K858" s="70"/>
      <c r="L858" s="11">
        <f>C858/100*1.4998513</f>
        <v>1.4998513</v>
      </c>
      <c r="M858" s="3">
        <v>3</v>
      </c>
    </row>
    <row r="859" spans="2:13">
      <c r="B859" s="104" t="s">
        <v>541</v>
      </c>
      <c r="C859" s="4">
        <v>100</v>
      </c>
      <c r="D859" s="5">
        <f>C859/100*86</f>
        <v>86</v>
      </c>
      <c r="E859" s="11">
        <f>C859/100*1.1</f>
        <v>1.1000000000000001</v>
      </c>
      <c r="F859" s="11">
        <f>C859/100*0.2</f>
        <v>0.2</v>
      </c>
      <c r="G859" s="11">
        <f>C859/100*22.5</f>
        <v>22.5</v>
      </c>
      <c r="H859" s="11">
        <f>C859/100*0</f>
        <v>0</v>
      </c>
      <c r="I859" s="70">
        <f>C859/100*0.1</f>
        <v>0.1</v>
      </c>
      <c r="J859" s="70">
        <f>C859/100*1</f>
        <v>1</v>
      </c>
      <c r="K859" s="70">
        <f>C859/100*1.1</f>
        <v>1.1000000000000001</v>
      </c>
      <c r="L859" s="70">
        <f>C859/100*0</f>
        <v>0</v>
      </c>
      <c r="M859" s="3">
        <v>2</v>
      </c>
    </row>
    <row r="860" spans="2:13">
      <c r="B860" s="104" t="s">
        <v>542</v>
      </c>
      <c r="C860" s="4">
        <v>45</v>
      </c>
      <c r="D860" s="5">
        <f>C860/100*246/0.45</f>
        <v>246</v>
      </c>
      <c r="E860" s="11">
        <f>C860/100*0.9/0.45</f>
        <v>0.9</v>
      </c>
      <c r="F860" s="11">
        <f>C860/100*15.3/0.45</f>
        <v>15.3</v>
      </c>
      <c r="G860" s="11">
        <f>C860/100*26.1/0.45</f>
        <v>26.1</v>
      </c>
      <c r="H860" s="11">
        <f>C860/100*0</f>
        <v>0</v>
      </c>
      <c r="I860" s="70"/>
      <c r="J860" s="70"/>
      <c r="K860" s="70"/>
      <c r="L860" s="70"/>
      <c r="M860" s="19" t="s">
        <v>751</v>
      </c>
    </row>
    <row r="861" spans="2:13">
      <c r="B861" s="81" t="s">
        <v>1141</v>
      </c>
      <c r="C861" s="4">
        <v>100</v>
      </c>
      <c r="D861" s="5">
        <f>C861/100*332</f>
        <v>332</v>
      </c>
      <c r="E861" s="11">
        <f>C861/100*17.2</f>
        <v>17.2</v>
      </c>
      <c r="F861" s="11">
        <f>C861/100*1.7</f>
        <v>1.7</v>
      </c>
      <c r="G861" s="11">
        <f>C861/100*61.2</f>
        <v>61.2</v>
      </c>
      <c r="H861" s="11">
        <f>C861/100*0</f>
        <v>0</v>
      </c>
      <c r="I861" s="70">
        <f>C861/100*1.2</f>
        <v>1.2</v>
      </c>
      <c r="J861" s="70">
        <f>C861/100*25.5</f>
        <v>25.5</v>
      </c>
      <c r="K861" s="70">
        <f>C861/100*26.7</f>
        <v>26.7</v>
      </c>
      <c r="L861" s="11">
        <f>C861/100*0</f>
        <v>0</v>
      </c>
      <c r="M861" s="3">
        <v>3</v>
      </c>
    </row>
    <row r="862" spans="2:13">
      <c r="B862" s="81" t="s">
        <v>1142</v>
      </c>
      <c r="C862" s="4">
        <v>100</v>
      </c>
      <c r="D862" s="5">
        <f>C862/100*121</f>
        <v>121</v>
      </c>
      <c r="E862" s="11">
        <f>C862/100*6.2</f>
        <v>6.2</v>
      </c>
      <c r="F862" s="11">
        <f>C862/100*0.6</f>
        <v>0.6</v>
      </c>
      <c r="G862" s="11">
        <f>C862/100*22.3</f>
        <v>22.3</v>
      </c>
      <c r="H862" s="11">
        <f>C862/100*0</f>
        <v>0</v>
      </c>
      <c r="I862" s="70">
        <f>C862/100*0.7</f>
        <v>0.7</v>
      </c>
      <c r="J862" s="70">
        <f>C862/100*6.9</f>
        <v>6.9</v>
      </c>
      <c r="K862" s="70">
        <f>C862/100*7.6</f>
        <v>7.6</v>
      </c>
      <c r="L862" s="11">
        <f>C862/100*0</f>
        <v>0</v>
      </c>
      <c r="M862" s="3">
        <v>3</v>
      </c>
    </row>
    <row r="863" spans="2:13">
      <c r="B863" s="104" t="s">
        <v>543</v>
      </c>
      <c r="C863" s="4">
        <v>100</v>
      </c>
      <c r="D863" s="5">
        <f>C863/100*256</f>
        <v>256</v>
      </c>
      <c r="E863" s="11">
        <f>C863/100*19.7</f>
        <v>19.7</v>
      </c>
      <c r="F863" s="11">
        <f>C863/100*18.2</f>
        <v>18.2</v>
      </c>
      <c r="G863" s="11">
        <f>C863/100*0.3</f>
        <v>0.3</v>
      </c>
      <c r="H863" s="11">
        <f>C863/100*72</f>
        <v>72</v>
      </c>
      <c r="I863" s="70"/>
      <c r="J863" s="70"/>
      <c r="K863" s="70"/>
      <c r="L863" s="70">
        <f>C863/100*0.1</f>
        <v>0.1</v>
      </c>
      <c r="M863" s="19">
        <v>3</v>
      </c>
    </row>
    <row r="864" spans="2:13">
      <c r="B864" s="104" t="s">
        <v>544</v>
      </c>
      <c r="C864" s="4">
        <v>100</v>
      </c>
      <c r="D864" s="5">
        <f>C864/100*107</f>
        <v>107</v>
      </c>
      <c r="E864" s="11">
        <f>C864/100*14.4</f>
        <v>14.4</v>
      </c>
      <c r="F864" s="11">
        <f>C864/100*4.1</f>
        <v>4.0999999999999996</v>
      </c>
      <c r="G864" s="11">
        <f>C864/100*3</f>
        <v>3</v>
      </c>
      <c r="H864" s="11">
        <f>C864/100*43</f>
        <v>43</v>
      </c>
      <c r="I864" s="70"/>
      <c r="J864" s="70"/>
      <c r="K864" s="70"/>
      <c r="L864" s="70">
        <f>C864/100*2.2</f>
        <v>2.2000000000000002</v>
      </c>
      <c r="M864" s="19">
        <v>3</v>
      </c>
    </row>
    <row r="865" spans="2:13">
      <c r="B865" s="104" t="s">
        <v>895</v>
      </c>
      <c r="C865" s="4">
        <v>38</v>
      </c>
      <c r="D865" s="5">
        <f>C865/100*50/0.38</f>
        <v>50</v>
      </c>
      <c r="E865" s="11">
        <f>C865/100*7.5/0.38</f>
        <v>7.5</v>
      </c>
      <c r="F865" s="11">
        <f>C865/100*1.9/0.38</f>
        <v>1.9</v>
      </c>
      <c r="G865" s="11">
        <f>C865/100*0.9/0.38</f>
        <v>0.9</v>
      </c>
      <c r="H865" s="11">
        <f>C865/100*25.5/0.38</f>
        <v>25.5</v>
      </c>
      <c r="I865" s="70"/>
      <c r="J865" s="70"/>
      <c r="K865" s="70"/>
      <c r="L865" s="11">
        <f>C865/100*1.2558077/0.38</f>
        <v>1.2558077000000001</v>
      </c>
      <c r="M865" s="3">
        <v>3</v>
      </c>
    </row>
    <row r="866" spans="2:13">
      <c r="B866" s="81" t="s">
        <v>1104</v>
      </c>
      <c r="C866" s="4">
        <v>38</v>
      </c>
      <c r="D866" s="5">
        <f>C866/100*51/0.38</f>
        <v>51</v>
      </c>
      <c r="E866" s="11">
        <f>C866/100*8.2/0.38</f>
        <v>8.1999999999999993</v>
      </c>
      <c r="F866" s="11">
        <f>C866/100*1.6/0.38</f>
        <v>1.6000000000000003</v>
      </c>
      <c r="G866" s="11">
        <f>C866/100*0.8/0.38</f>
        <v>0.80000000000000016</v>
      </c>
      <c r="H866" s="11">
        <f>C866/100*25.5/0.38</f>
        <v>25.5</v>
      </c>
      <c r="I866" s="70"/>
      <c r="J866" s="70"/>
      <c r="K866" s="70"/>
      <c r="L866" s="11">
        <f>C866/100*1.3142765/0.38</f>
        <v>1.3142765000000001</v>
      </c>
      <c r="M866" s="3">
        <v>3</v>
      </c>
    </row>
    <row r="867" spans="2:13">
      <c r="B867" s="81" t="s">
        <v>1104</v>
      </c>
      <c r="C867" s="4">
        <v>38</v>
      </c>
      <c r="D867" s="5">
        <f>C867/100*51/0.38</f>
        <v>51</v>
      </c>
      <c r="E867" s="11">
        <f>C867/100*8.2/0.38</f>
        <v>8.1999999999999993</v>
      </c>
      <c r="F867" s="11">
        <f>C867/100*1.6/0.38</f>
        <v>1.6000000000000003</v>
      </c>
      <c r="G867" s="11">
        <f>C867/100*0.8/0.38</f>
        <v>0.80000000000000016</v>
      </c>
      <c r="H867" s="11">
        <f>C867/100*25.5/0.38</f>
        <v>25.5</v>
      </c>
      <c r="I867" s="70"/>
      <c r="J867" s="70"/>
      <c r="K867" s="70"/>
      <c r="L867" s="11">
        <f>C867/100*1.3142765/0.38</f>
        <v>1.3142765000000001</v>
      </c>
      <c r="M867" s="3">
        <v>3</v>
      </c>
    </row>
    <row r="868" spans="2:13">
      <c r="B868" s="104" t="s">
        <v>545</v>
      </c>
      <c r="C868" s="4">
        <v>55</v>
      </c>
      <c r="D868" s="5">
        <f>C868/100*64/0.55</f>
        <v>64</v>
      </c>
      <c r="E868" s="11">
        <f>C868/100*12/0.55</f>
        <v>12</v>
      </c>
      <c r="F868" s="11">
        <f>C868/100*1.5/0.55</f>
        <v>1.5</v>
      </c>
      <c r="G868" s="11">
        <f>C868/100*0.5/0.55</f>
        <v>0.5</v>
      </c>
      <c r="H868" s="11">
        <f>C868/100*43/0.55</f>
        <v>43</v>
      </c>
      <c r="I868" s="70"/>
      <c r="J868" s="70"/>
      <c r="K868" s="70"/>
      <c r="L868" s="70"/>
      <c r="M868" s="19">
        <v>3</v>
      </c>
    </row>
    <row r="869" spans="2:13">
      <c r="B869" s="104" t="s">
        <v>546</v>
      </c>
      <c r="C869" s="4">
        <v>50</v>
      </c>
      <c r="D869" s="5">
        <f>C869/100*76/0.5</f>
        <v>76</v>
      </c>
      <c r="E869" s="11">
        <f>C869/100*11.5/0.5</f>
        <v>11.5</v>
      </c>
      <c r="F869" s="11">
        <f>C869/100*2.5/0.5</f>
        <v>2.5</v>
      </c>
      <c r="G869" s="11">
        <f>C869/100*2.4/0.5</f>
        <v>2.4</v>
      </c>
      <c r="H869" s="11">
        <f>C869/100*39/0.5</f>
        <v>39</v>
      </c>
      <c r="I869" s="70"/>
      <c r="J869" s="70"/>
      <c r="K869" s="70"/>
      <c r="L869" s="70"/>
      <c r="M869" s="19">
        <v>3</v>
      </c>
    </row>
    <row r="870" spans="2:13">
      <c r="B870" s="104" t="s">
        <v>919</v>
      </c>
      <c r="C870" s="4">
        <v>100</v>
      </c>
      <c r="D870" s="5">
        <f>C870/100*107</f>
        <v>107</v>
      </c>
      <c r="E870" s="11">
        <f>C870/100*17.3</f>
        <v>17.3</v>
      </c>
      <c r="F870" s="11">
        <f>C870/100*2.4</f>
        <v>2.4</v>
      </c>
      <c r="G870" s="11">
        <f>C870/100*4</f>
        <v>4</v>
      </c>
      <c r="H870" s="11">
        <f>C870/100*8.5</f>
        <v>8.5</v>
      </c>
      <c r="I870" s="70"/>
      <c r="J870" s="70"/>
      <c r="K870" s="70"/>
      <c r="L870" s="11">
        <f>C870/100*2.7709118</f>
        <v>2.7709117999999999</v>
      </c>
      <c r="M870" s="3">
        <v>3</v>
      </c>
    </row>
    <row r="871" spans="2:13">
      <c r="B871" s="104" t="s">
        <v>780</v>
      </c>
      <c r="C871" s="4">
        <v>9.6774193000000004</v>
      </c>
      <c r="D871" s="5">
        <f>C871/100*60/0.53</f>
        <v>10.955569018867926</v>
      </c>
      <c r="E871" s="11">
        <f>C871/100*9.9/0.53</f>
        <v>1.8076688881132077</v>
      </c>
      <c r="F871" s="11">
        <f>C871/100*1.3/0.53</f>
        <v>0.23737066207547169</v>
      </c>
      <c r="G871" s="11">
        <f>C871/100*2.1/0.53</f>
        <v>0.38344491566037742</v>
      </c>
      <c r="H871" s="11">
        <f>C871/100*30</f>
        <v>2.9032257900000005</v>
      </c>
      <c r="I871" s="70"/>
      <c r="J871" s="70"/>
      <c r="K871" s="70"/>
      <c r="L871" s="11">
        <f>C871/100*1.1693756/0.53</f>
        <v>0.21351958491300149</v>
      </c>
      <c r="M871" s="3">
        <v>3</v>
      </c>
    </row>
    <row r="872" spans="2:13">
      <c r="B872" s="104" t="s">
        <v>890</v>
      </c>
      <c r="C872" s="4">
        <v>48</v>
      </c>
      <c r="D872" s="5">
        <f>C872/100*55/0.48</f>
        <v>55</v>
      </c>
      <c r="E872" s="11">
        <f>C872/100*9.5/0.48</f>
        <v>9.5</v>
      </c>
      <c r="F872" s="11">
        <f>C872/100*1.3/0.48</f>
        <v>1.3</v>
      </c>
      <c r="G872" s="11">
        <f>C872/100*1.3/0.48</f>
        <v>1.3</v>
      </c>
      <c r="H872" s="11">
        <f>C872/100*33.6/0.48</f>
        <v>33.6</v>
      </c>
      <c r="I872" s="70"/>
      <c r="J872" s="70"/>
      <c r="K872" s="70"/>
      <c r="L872" s="11">
        <f>C872/100*1.6905104/0.48</f>
        <v>1.6905104</v>
      </c>
      <c r="M872" s="3">
        <v>3</v>
      </c>
    </row>
    <row r="873" spans="2:13">
      <c r="B873" s="104" t="s">
        <v>1195</v>
      </c>
      <c r="C873" s="4">
        <v>54</v>
      </c>
      <c r="D873" s="5">
        <f>C873/100*65/0.54</f>
        <v>65</v>
      </c>
      <c r="E873" s="11">
        <f>C873/100*12.5/0.54</f>
        <v>12.5</v>
      </c>
      <c r="F873" s="11">
        <f>C873/100*1.1/0.54</f>
        <v>1.1000000000000001</v>
      </c>
      <c r="G873" s="11">
        <f>C873/100*1.1/0.54</f>
        <v>1.1000000000000001</v>
      </c>
      <c r="H873" s="11">
        <f>C873/100*3.896/0.54</f>
        <v>3.8959999999999995</v>
      </c>
      <c r="I873" s="70"/>
      <c r="J873" s="70"/>
      <c r="K873" s="70"/>
      <c r="L873" s="11">
        <f>C873/100*1.5023935/0.54</f>
        <v>1.5023934999999999</v>
      </c>
      <c r="M873" s="3">
        <v>3</v>
      </c>
    </row>
    <row r="874" spans="2:13">
      <c r="B874" s="104" t="s">
        <v>547</v>
      </c>
      <c r="C874" s="4">
        <v>38</v>
      </c>
      <c r="D874" s="5">
        <f>C874/100*41/0.38</f>
        <v>41</v>
      </c>
      <c r="E874" s="11">
        <f>C874/100*6.6/0.38</f>
        <v>6.6</v>
      </c>
      <c r="F874" s="11">
        <f>C874/100*0.9/0.38</f>
        <v>0.9</v>
      </c>
      <c r="G874" s="11">
        <f>C874/100*1.5/0.38</f>
        <v>1.5000000000000002</v>
      </c>
      <c r="H874" s="11">
        <f>C874/100*25/0.38</f>
        <v>25</v>
      </c>
      <c r="I874" s="70"/>
      <c r="J874" s="70"/>
      <c r="K874" s="70"/>
      <c r="L874" s="70"/>
      <c r="M874" s="19">
        <v>3</v>
      </c>
    </row>
    <row r="875" spans="2:13">
      <c r="B875" s="104" t="s">
        <v>548</v>
      </c>
      <c r="C875" s="4">
        <v>100</v>
      </c>
      <c r="D875" s="5">
        <f>C875/100*199</f>
        <v>199</v>
      </c>
      <c r="E875" s="11">
        <f>C875/100*7.36</f>
        <v>7.36</v>
      </c>
      <c r="F875" s="11">
        <f>C875/100*12.03</f>
        <v>12.03</v>
      </c>
      <c r="G875" s="11">
        <f>C875/100*14.65</f>
        <v>14.65</v>
      </c>
      <c r="H875" s="11">
        <f>C875/100*0</f>
        <v>0</v>
      </c>
      <c r="I875" s="70"/>
      <c r="J875" s="70"/>
      <c r="K875" s="70">
        <f>C875/100*2.12</f>
        <v>2.12</v>
      </c>
      <c r="L875" s="11">
        <f>C875/100*0.7638819</f>
        <v>0.7638819</v>
      </c>
      <c r="M875" s="3"/>
    </row>
    <row r="876" spans="2:13">
      <c r="B876" s="104" t="s">
        <v>808</v>
      </c>
      <c r="C876" s="4">
        <v>100</v>
      </c>
      <c r="D876" s="5">
        <f>C876/100*475</f>
        <v>475</v>
      </c>
      <c r="E876" s="11">
        <f>C876/100*44</f>
        <v>44</v>
      </c>
      <c r="F876" s="11">
        <f>C876/100*30.8</f>
        <v>30.8</v>
      </c>
      <c r="G876" s="11">
        <f>C876/100*1.9</f>
        <v>1.9</v>
      </c>
      <c r="H876" s="11">
        <f>C876/100*96</f>
        <v>96</v>
      </c>
      <c r="I876" s="70"/>
      <c r="J876" s="70"/>
      <c r="K876" s="70"/>
      <c r="L876" s="11">
        <f>C876/100*3.8131815</f>
        <v>3.8131814999999998</v>
      </c>
      <c r="M876" s="3">
        <v>3</v>
      </c>
    </row>
    <row r="877" spans="2:13">
      <c r="B877" s="81" t="s">
        <v>549</v>
      </c>
      <c r="C877" s="4">
        <v>100</v>
      </c>
      <c r="D877" s="5">
        <f>C877/100*264</f>
        <v>264</v>
      </c>
      <c r="E877" s="11">
        <f>C877/100*9.3</f>
        <v>9.3000000000000007</v>
      </c>
      <c r="F877" s="11">
        <f>C877/100*4.4</f>
        <v>4.4000000000000004</v>
      </c>
      <c r="G877" s="11">
        <f>C877/100*46.7</f>
        <v>46.7</v>
      </c>
      <c r="H877" s="11">
        <f>C877/100*0</f>
        <v>0</v>
      </c>
      <c r="I877" s="70">
        <f>C877/100*0.4</f>
        <v>0.4</v>
      </c>
      <c r="J877" s="70">
        <f>C877/100*1.9</f>
        <v>1.9</v>
      </c>
      <c r="K877" s="70">
        <f>C877/100*2.3</f>
        <v>2.2999999999999998</v>
      </c>
      <c r="L877" s="70">
        <f>C877/100*1.3</f>
        <v>1.3</v>
      </c>
      <c r="M877" s="19">
        <v>1</v>
      </c>
    </row>
    <row r="878" spans="2:13">
      <c r="B878" s="81" t="s">
        <v>1116</v>
      </c>
      <c r="C878" s="4">
        <v>120</v>
      </c>
      <c r="D878" s="5">
        <f>C878/100*392/1.2</f>
        <v>392</v>
      </c>
      <c r="E878" s="11">
        <f>C878/100*8.7/1.2</f>
        <v>8.6999999999999993</v>
      </c>
      <c r="F878" s="11">
        <f>C878/100*17/1.2</f>
        <v>17</v>
      </c>
      <c r="G878" s="11">
        <f>C878/100*51.1/1.2</f>
        <v>51.1</v>
      </c>
      <c r="H878" s="11">
        <f>C878/100*0</f>
        <v>0</v>
      </c>
      <c r="I878" s="70"/>
      <c r="J878" s="70"/>
      <c r="K878" s="70">
        <f>C878/100*0.1/1.2</f>
        <v>0.1</v>
      </c>
      <c r="L878" s="11">
        <f>C878/100*0.9075371/1.2</f>
        <v>0.90753709999999987</v>
      </c>
      <c r="M878" s="3">
        <v>1</v>
      </c>
    </row>
    <row r="879" spans="2:13">
      <c r="B879" s="104" t="s">
        <v>784</v>
      </c>
      <c r="C879" s="4">
        <v>100</v>
      </c>
      <c r="D879" s="5">
        <f>C879/100*373</f>
        <v>373</v>
      </c>
      <c r="E879" s="11">
        <f>C879/100*14.6</f>
        <v>14.6</v>
      </c>
      <c r="F879" s="11">
        <f>C879/100*6.8</f>
        <v>6.8</v>
      </c>
      <c r="G879" s="11">
        <f>C879/100*63.4</f>
        <v>63.4</v>
      </c>
      <c r="H879" s="11">
        <f>C879/100*0</f>
        <v>0</v>
      </c>
      <c r="I879" s="70"/>
      <c r="J879" s="70"/>
      <c r="K879" s="70">
        <f>C879/100*4</f>
        <v>4</v>
      </c>
      <c r="L879" s="11">
        <f>C879/100*1.1693756</f>
        <v>1.1693756</v>
      </c>
      <c r="M879" s="3">
        <v>1</v>
      </c>
    </row>
    <row r="880" spans="2:13">
      <c r="B880" s="104" t="s">
        <v>550</v>
      </c>
      <c r="C880" s="4">
        <v>100</v>
      </c>
      <c r="D880" s="5">
        <f>C880/100*94</f>
        <v>94</v>
      </c>
      <c r="E880" s="11">
        <f>C880/100*9.9</f>
        <v>9.9</v>
      </c>
      <c r="F880" s="11">
        <f>C880/100*1</f>
        <v>1</v>
      </c>
      <c r="G880" s="11">
        <f>C880/100*11.4</f>
        <v>11.4</v>
      </c>
      <c r="H880" s="11">
        <f>C880/100*15</f>
        <v>15</v>
      </c>
      <c r="I880" s="70"/>
      <c r="J880" s="70"/>
      <c r="K880" s="70"/>
      <c r="L880" s="11">
        <f>C880/100*1.5</f>
        <v>1.5</v>
      </c>
      <c r="M880" s="19">
        <v>3</v>
      </c>
    </row>
    <row r="881" spans="2:13">
      <c r="B881" s="104" t="s">
        <v>855</v>
      </c>
      <c r="C881" s="4">
        <v>30</v>
      </c>
      <c r="D881" s="5">
        <f>C881/100*190/0.3</f>
        <v>190</v>
      </c>
      <c r="E881" s="11">
        <f>C881/100*7.8/0.3</f>
        <v>7.8</v>
      </c>
      <c r="F881" s="11">
        <f>C881/100*14.7/0.3</f>
        <v>14.699999999999998</v>
      </c>
      <c r="G881" s="11">
        <f>C881/100*6/0.3</f>
        <v>6</v>
      </c>
      <c r="H881" s="11">
        <f>C881/100*0</f>
        <v>0</v>
      </c>
      <c r="I881" s="70"/>
      <c r="J881" s="70"/>
      <c r="K881" s="70">
        <f>C881/100*2.1/0.3</f>
        <v>2.1</v>
      </c>
      <c r="L881" s="11">
        <f>C881/100*0.0040673/0.3</f>
        <v>4.0673000000000003E-3</v>
      </c>
      <c r="M881" s="3">
        <v>5</v>
      </c>
    </row>
    <row r="882" spans="2:13">
      <c r="B882" s="108" t="s">
        <v>551</v>
      </c>
      <c r="C882" s="4">
        <v>7.1</v>
      </c>
      <c r="D882" s="5">
        <f>C882/100*39/0.071</f>
        <v>39</v>
      </c>
      <c r="E882" s="11">
        <f>C882/100*0.4/0.071</f>
        <v>0.4</v>
      </c>
      <c r="F882" s="11">
        <f>C882/100*2.3/0.071</f>
        <v>2.2999999999999998</v>
      </c>
      <c r="G882" s="11">
        <f>C882/100*4.1/0.071</f>
        <v>4.0999999999999996</v>
      </c>
      <c r="H882" s="11">
        <f>C882/100*0</f>
        <v>0</v>
      </c>
      <c r="I882" s="70"/>
      <c r="J882" s="70"/>
      <c r="K882" s="70"/>
      <c r="L882" s="70"/>
      <c r="M882" s="19" t="s">
        <v>751</v>
      </c>
    </row>
    <row r="883" spans="2:13">
      <c r="B883" s="81" t="s">
        <v>1128</v>
      </c>
      <c r="C883" s="4">
        <v>40</v>
      </c>
      <c r="D883" s="5">
        <f>C883/100*98/0.4</f>
        <v>98</v>
      </c>
      <c r="E883" s="11">
        <f>C883/100*16.4/0.4</f>
        <v>16.399999999999999</v>
      </c>
      <c r="F883" s="11">
        <f>C883/100*0.9/0.4</f>
        <v>0.9</v>
      </c>
      <c r="G883" s="11">
        <f>C883/100*6/0.4</f>
        <v>6.0000000000000009</v>
      </c>
      <c r="H883" s="11">
        <f>C883/100*60/0.4</f>
        <v>60</v>
      </c>
      <c r="I883" s="70"/>
      <c r="J883" s="70"/>
      <c r="K883" s="70"/>
      <c r="L883" s="11">
        <f>C883/100*1.8811695/0.4</f>
        <v>1.8811694999999999</v>
      </c>
      <c r="M883" s="19">
        <v>3</v>
      </c>
    </row>
    <row r="884" spans="2:13">
      <c r="B884" s="81" t="s">
        <v>552</v>
      </c>
      <c r="C884" s="4">
        <v>100</v>
      </c>
      <c r="D884" s="5">
        <f>C884/100*22</f>
        <v>22</v>
      </c>
      <c r="E884" s="11">
        <f>C884/100*0.9</f>
        <v>0.9</v>
      </c>
      <c r="F884" s="11">
        <f>C884/100*0.2</f>
        <v>0.2</v>
      </c>
      <c r="G884" s="11">
        <f>C884/100*5.1</f>
        <v>5.0999999999999996</v>
      </c>
      <c r="H884" s="11">
        <f t="shared" ref="H884:H891" si="40">C884/100*0</f>
        <v>0</v>
      </c>
      <c r="I884" s="70">
        <f>C884/100*0.6</f>
        <v>0.6</v>
      </c>
      <c r="J884" s="70">
        <f>C884/100*1.7</f>
        <v>1.7</v>
      </c>
      <c r="K884" s="70">
        <f>C884/100*2.3</f>
        <v>2.2999999999999998</v>
      </c>
      <c r="L884" s="70">
        <f>C884/100*0</f>
        <v>0</v>
      </c>
      <c r="M884" s="19">
        <v>6</v>
      </c>
    </row>
    <row r="885" spans="2:13">
      <c r="B885" s="81" t="s">
        <v>553</v>
      </c>
      <c r="C885" s="4">
        <v>100</v>
      </c>
      <c r="D885" s="5">
        <f>C885/100*30</f>
        <v>30</v>
      </c>
      <c r="E885" s="11">
        <f>C885/100*1</f>
        <v>1</v>
      </c>
      <c r="F885" s="11">
        <f>C885/100*0.2</f>
        <v>0.2</v>
      </c>
      <c r="G885" s="11">
        <f>C885/100*7.2</f>
        <v>7.2</v>
      </c>
      <c r="H885" s="11">
        <f t="shared" si="40"/>
        <v>0</v>
      </c>
      <c r="I885" s="70">
        <f>C885/100*0.5</f>
        <v>0.5</v>
      </c>
      <c r="J885" s="70">
        <f>C885/100*1.1</f>
        <v>1.1000000000000001</v>
      </c>
      <c r="K885" s="70">
        <f>C885/100*1.6</f>
        <v>1.6</v>
      </c>
      <c r="L885" s="70">
        <f>C885/100*0</f>
        <v>0</v>
      </c>
      <c r="M885" s="19">
        <v>6</v>
      </c>
    </row>
    <row r="886" spans="2:13">
      <c r="B886" s="81" t="s">
        <v>554</v>
      </c>
      <c r="C886" s="4">
        <v>100</v>
      </c>
      <c r="D886" s="5">
        <f>C886/100*27</f>
        <v>27</v>
      </c>
      <c r="E886" s="11">
        <f>C886/100*0.8</f>
        <v>0.8</v>
      </c>
      <c r="F886" s="11">
        <f>C886/100*0.2</f>
        <v>0.2</v>
      </c>
      <c r="G886" s="11">
        <f>C886/100*6.6</f>
        <v>6.6</v>
      </c>
      <c r="H886" s="11">
        <f t="shared" si="40"/>
        <v>0</v>
      </c>
      <c r="I886" s="70">
        <f>C886/100*0.4</f>
        <v>0.4</v>
      </c>
      <c r="J886" s="70">
        <f>C886/100*0.9</f>
        <v>0.9</v>
      </c>
      <c r="K886" s="70">
        <f>C886/100*1.3</f>
        <v>1.3</v>
      </c>
      <c r="L886" s="70">
        <f>C886/100*0</f>
        <v>0</v>
      </c>
      <c r="M886" s="19">
        <v>6</v>
      </c>
    </row>
    <row r="887" spans="2:13">
      <c r="B887" s="104" t="s">
        <v>555</v>
      </c>
      <c r="C887" s="4">
        <v>100</v>
      </c>
      <c r="D887" s="5">
        <f>C887/100*40</f>
        <v>40</v>
      </c>
      <c r="E887" s="11">
        <f>C887/100*0.55</f>
        <v>0.55000000000000004</v>
      </c>
      <c r="F887" s="11">
        <f>C887/100*0</f>
        <v>0</v>
      </c>
      <c r="G887" s="11">
        <f>C887/100*3</f>
        <v>3</v>
      </c>
      <c r="H887" s="11">
        <f t="shared" si="40"/>
        <v>0</v>
      </c>
      <c r="I887" s="70"/>
      <c r="J887" s="70"/>
      <c r="K887" s="70"/>
      <c r="L887" s="70"/>
      <c r="M887" s="19" t="s">
        <v>751</v>
      </c>
    </row>
    <row r="888" spans="2:13">
      <c r="B888" s="104" t="s">
        <v>556</v>
      </c>
      <c r="C888" s="4">
        <v>100</v>
      </c>
      <c r="D888" s="5">
        <f>C888/100*46</f>
        <v>46</v>
      </c>
      <c r="E888" s="11">
        <f>C888/100*0.4</f>
        <v>0.4</v>
      </c>
      <c r="F888" s="11">
        <f>C888/100*0</f>
        <v>0</v>
      </c>
      <c r="G888" s="11">
        <f>C888/100*3.6</f>
        <v>3.6</v>
      </c>
      <c r="H888" s="11">
        <f t="shared" si="40"/>
        <v>0</v>
      </c>
      <c r="I888" s="70"/>
      <c r="J888" s="70"/>
      <c r="K888" s="70"/>
      <c r="L888" s="70"/>
      <c r="M888" s="19" t="s">
        <v>751</v>
      </c>
    </row>
    <row r="889" spans="2:13">
      <c r="B889" s="104" t="s">
        <v>557</v>
      </c>
      <c r="C889" s="4">
        <v>196</v>
      </c>
      <c r="D889" s="5">
        <f>C889/100*474/1.96</f>
        <v>474</v>
      </c>
      <c r="E889" s="11">
        <f>C889/100*22.62/1.96</f>
        <v>22.62</v>
      </c>
      <c r="F889" s="11">
        <f>C889/100*21.54/1.96</f>
        <v>21.54</v>
      </c>
      <c r="G889" s="11">
        <f>C889/100*46.55/1.96</f>
        <v>46.55</v>
      </c>
      <c r="H889" s="11">
        <f t="shared" si="40"/>
        <v>0</v>
      </c>
      <c r="I889" s="70"/>
      <c r="J889" s="70"/>
      <c r="K889" s="70">
        <f>C889/100*2.69/1.96</f>
        <v>2.69</v>
      </c>
      <c r="L889" s="11">
        <f>C889/100*3.16/1.96</f>
        <v>3.16</v>
      </c>
      <c r="M889" s="19" t="s">
        <v>751</v>
      </c>
    </row>
    <row r="890" spans="2:13">
      <c r="B890" s="104" t="s">
        <v>558</v>
      </c>
      <c r="C890" s="4">
        <v>100</v>
      </c>
      <c r="D890" s="5">
        <f>C890/100*242</f>
        <v>242</v>
      </c>
      <c r="E890" s="11">
        <f>C890/100*10.08</f>
        <v>10.08</v>
      </c>
      <c r="F890" s="11">
        <f>C890/100*10.87</f>
        <v>10.87</v>
      </c>
      <c r="G890" s="11">
        <f>C890/100*25.64</f>
        <v>25.64</v>
      </c>
      <c r="H890" s="11">
        <f t="shared" si="40"/>
        <v>0</v>
      </c>
      <c r="I890" s="70"/>
      <c r="J890" s="70"/>
      <c r="K890" s="70">
        <f>C890/100*1.54</f>
        <v>1.54</v>
      </c>
      <c r="L890" s="70">
        <f>C890/100*1.46</f>
        <v>1.46</v>
      </c>
      <c r="M890" s="19" t="s">
        <v>751</v>
      </c>
    </row>
    <row r="891" spans="2:13">
      <c r="B891" s="104" t="s">
        <v>559</v>
      </c>
      <c r="C891" s="4">
        <v>237</v>
      </c>
      <c r="D891" s="5">
        <f>C891/100*574/2.37</f>
        <v>574</v>
      </c>
      <c r="E891" s="11">
        <f>C891/100*23.89/2.37</f>
        <v>23.89</v>
      </c>
      <c r="F891" s="11">
        <f>C891/100*25.7/2.37</f>
        <v>25.7</v>
      </c>
      <c r="G891" s="11">
        <f>C891/100*60.77/2.37</f>
        <v>60.769999999999996</v>
      </c>
      <c r="H891" s="11">
        <f t="shared" si="40"/>
        <v>0</v>
      </c>
      <c r="I891" s="70"/>
      <c r="J891" s="70"/>
      <c r="K891" s="70">
        <f>C891/100*3.65/2.37</f>
        <v>3.6500000000000004</v>
      </c>
      <c r="L891" s="11">
        <f>C891/100*3.46/2.37</f>
        <v>3.46</v>
      </c>
      <c r="M891" s="19" t="s">
        <v>751</v>
      </c>
    </row>
    <row r="892" spans="2:13">
      <c r="B892" s="104" t="s">
        <v>929</v>
      </c>
      <c r="C892" s="4">
        <v>100</v>
      </c>
      <c r="D892" s="5">
        <f>C892/100*139</f>
        <v>139</v>
      </c>
      <c r="E892" s="11">
        <f>C892/100*10.6</f>
        <v>10.6</v>
      </c>
      <c r="F892" s="11">
        <f>C892/100*1.3</f>
        <v>1.3</v>
      </c>
      <c r="G892" s="11">
        <f>C892/100*56.2</f>
        <v>56.2</v>
      </c>
      <c r="H892" s="11">
        <f>C892/100*1</f>
        <v>1</v>
      </c>
      <c r="I892" s="70"/>
      <c r="J892" s="70"/>
      <c r="K892" s="70">
        <f>C892/100*43.3</f>
        <v>43.3</v>
      </c>
      <c r="L892" s="11">
        <f>C892/100*3.6</f>
        <v>3.6</v>
      </c>
      <c r="M892" s="3">
        <v>6</v>
      </c>
    </row>
    <row r="893" spans="2:13">
      <c r="B893" s="81" t="s">
        <v>560</v>
      </c>
      <c r="C893" s="4">
        <v>100</v>
      </c>
      <c r="D893" s="5">
        <f>C893/100*522</f>
        <v>522</v>
      </c>
      <c r="E893" s="11">
        <f>C893/100*5.7</f>
        <v>5.7</v>
      </c>
      <c r="F893" s="11">
        <f>C893/100*27.6</f>
        <v>27.6</v>
      </c>
      <c r="G893" s="11">
        <f>C893/100*62.6</f>
        <v>62.6</v>
      </c>
      <c r="H893" s="11">
        <f>C893/100*10</f>
        <v>10</v>
      </c>
      <c r="I893" s="70">
        <f>C893/100*0.9</f>
        <v>0.9</v>
      </c>
      <c r="J893" s="70">
        <f>C893/100*0.5</f>
        <v>0.5</v>
      </c>
      <c r="K893" s="70">
        <f>C893/100*1.4</f>
        <v>1.4</v>
      </c>
      <c r="L893" s="70">
        <f>C893/100*0.6</f>
        <v>0.6</v>
      </c>
      <c r="M893" s="19" t="s">
        <v>751</v>
      </c>
    </row>
    <row r="894" spans="2:13">
      <c r="B894" s="81" t="s">
        <v>561</v>
      </c>
      <c r="C894" s="4">
        <v>100</v>
      </c>
      <c r="D894" s="5">
        <f>C894/100*432</f>
        <v>432</v>
      </c>
      <c r="E894" s="11">
        <f>C894/100*7.6</f>
        <v>7.6</v>
      </c>
      <c r="F894" s="11">
        <f>C894/100*10</f>
        <v>10</v>
      </c>
      <c r="G894" s="11">
        <f>C894/100*77.8</f>
        <v>77.8</v>
      </c>
      <c r="H894" s="11">
        <f>C894/100*58</f>
        <v>58</v>
      </c>
      <c r="I894" s="70">
        <f>C894/100*1.6</f>
        <v>1.6</v>
      </c>
      <c r="J894" s="70">
        <f>C894/100*0.7</f>
        <v>0.7</v>
      </c>
      <c r="K894" s="70">
        <f>C894/100*2.3</f>
        <v>2.2999999999999998</v>
      </c>
      <c r="L894" s="70">
        <f>C894/100*0.8</f>
        <v>0.8</v>
      </c>
      <c r="M894" s="19" t="s">
        <v>751</v>
      </c>
    </row>
    <row r="895" spans="2:13">
      <c r="B895" s="104" t="s">
        <v>562</v>
      </c>
      <c r="C895" s="4">
        <v>100</v>
      </c>
      <c r="D895" s="5">
        <f>C895/100*361</f>
        <v>361</v>
      </c>
      <c r="E895" s="11">
        <f>C895/100*4.04</f>
        <v>4.04</v>
      </c>
      <c r="F895" s="11">
        <f>C895/100*7.76</f>
        <v>7.76</v>
      </c>
      <c r="G895" s="11">
        <f>C895/100*65.25</f>
        <v>65.25</v>
      </c>
      <c r="H895" s="11">
        <f>C895/100*58</f>
        <v>58</v>
      </c>
      <c r="I895" s="70"/>
      <c r="J895" s="70"/>
      <c r="K895" s="70">
        <f>C895/100*1.09</f>
        <v>1.0900000000000001</v>
      </c>
      <c r="L895" s="11">
        <f>C895/100*0.5623171</f>
        <v>0.56231710000000001</v>
      </c>
      <c r="M895" s="19" t="s">
        <v>751</v>
      </c>
    </row>
    <row r="896" spans="2:13">
      <c r="B896" s="104" t="s">
        <v>563</v>
      </c>
      <c r="C896" s="4">
        <v>100</v>
      </c>
      <c r="D896" s="5">
        <f>C896/100*72</f>
        <v>72</v>
      </c>
      <c r="E896" s="11">
        <f>C896/100*8</f>
        <v>8</v>
      </c>
      <c r="F896" s="11">
        <f>C896/100*0</f>
        <v>0</v>
      </c>
      <c r="G896" s="11">
        <f>C896/100*10</f>
        <v>10</v>
      </c>
      <c r="H896" s="11">
        <f t="shared" ref="H896:H901" si="41">C896/100*0</f>
        <v>0</v>
      </c>
      <c r="I896" s="70"/>
      <c r="J896" s="70"/>
      <c r="K896" s="70"/>
      <c r="L896" s="11">
        <f>C896/100*10.168484</f>
        <v>10.168483999999999</v>
      </c>
      <c r="M896" s="19" t="s">
        <v>750</v>
      </c>
    </row>
    <row r="897" spans="2:13">
      <c r="B897" s="104" t="s">
        <v>564</v>
      </c>
      <c r="C897" s="4">
        <v>100</v>
      </c>
      <c r="D897" s="5">
        <f>C897/100*140</f>
        <v>140</v>
      </c>
      <c r="E897" s="11">
        <f>C897/100*3</f>
        <v>3</v>
      </c>
      <c r="F897" s="11">
        <f>C897/100*2.4</f>
        <v>2.4</v>
      </c>
      <c r="G897" s="11">
        <f>C897/100*27.2</f>
        <v>27.2</v>
      </c>
      <c r="H897" s="11">
        <f t="shared" si="41"/>
        <v>0</v>
      </c>
      <c r="I897" s="70"/>
      <c r="J897" s="70"/>
      <c r="K897" s="70"/>
      <c r="L897" s="11">
        <f>C897/100*5.8</f>
        <v>5.8</v>
      </c>
      <c r="M897" s="19" t="s">
        <v>750</v>
      </c>
    </row>
    <row r="898" spans="2:13">
      <c r="B898" s="84" t="s">
        <v>565</v>
      </c>
      <c r="C898" s="4">
        <v>100</v>
      </c>
      <c r="D898" s="5">
        <f>C898/100*140</f>
        <v>140</v>
      </c>
      <c r="E898" s="11">
        <f>C898/100*3</f>
        <v>3</v>
      </c>
      <c r="F898" s="11">
        <f>C898/100*2.4</f>
        <v>2.4</v>
      </c>
      <c r="G898" s="11">
        <f>C898/100*27.2</f>
        <v>27.2</v>
      </c>
      <c r="H898" s="11">
        <f t="shared" si="41"/>
        <v>0</v>
      </c>
      <c r="I898" s="70"/>
      <c r="J898" s="70"/>
      <c r="K898" s="70"/>
      <c r="L898" s="11">
        <f>C898/100*5.8468783</f>
        <v>5.8468783000000002</v>
      </c>
      <c r="M898" s="19" t="s">
        <v>750</v>
      </c>
    </row>
    <row r="899" spans="2:13">
      <c r="B899" s="81" t="s">
        <v>1187</v>
      </c>
      <c r="C899" s="4">
        <v>100</v>
      </c>
      <c r="D899" s="5">
        <f>C899/100*114</f>
        <v>114</v>
      </c>
      <c r="E899" s="11">
        <f>C899/100*4.2</f>
        <v>4.2</v>
      </c>
      <c r="F899" s="11">
        <f>C899/100*2.4</f>
        <v>2.4</v>
      </c>
      <c r="G899" s="11">
        <f>C899/100*19</f>
        <v>19</v>
      </c>
      <c r="H899" s="11">
        <f t="shared" si="41"/>
        <v>0</v>
      </c>
      <c r="I899" s="70"/>
      <c r="J899" s="70"/>
      <c r="K899" s="70"/>
      <c r="L899" s="11">
        <f>C899/100*8.8211598</f>
        <v>8.8211598000000002</v>
      </c>
      <c r="M899" s="19" t="s">
        <v>750</v>
      </c>
    </row>
    <row r="900" spans="2:13">
      <c r="B900" s="81" t="s">
        <v>1201</v>
      </c>
      <c r="C900" s="4">
        <v>100</v>
      </c>
      <c r="D900" s="5">
        <f>C900/100*329</f>
        <v>329</v>
      </c>
      <c r="E900" s="11">
        <f>C900/100*8.2</f>
        <v>8.1999999999999993</v>
      </c>
      <c r="F900" s="11">
        <f>C900/100*1.3</f>
        <v>1.3</v>
      </c>
      <c r="G900" s="11">
        <f>C900/100*71</f>
        <v>71</v>
      </c>
      <c r="H900" s="11">
        <f t="shared" si="41"/>
        <v>0</v>
      </c>
      <c r="I900" s="70"/>
      <c r="J900" s="70"/>
      <c r="K900" s="70"/>
      <c r="L900" s="11">
        <f>C900/100*0.8007681</f>
        <v>0.80076809999999998</v>
      </c>
      <c r="M900" s="3">
        <v>1</v>
      </c>
    </row>
    <row r="901" spans="2:13">
      <c r="B901" s="81" t="s">
        <v>1202</v>
      </c>
      <c r="C901" s="4">
        <v>100</v>
      </c>
      <c r="D901" s="5">
        <f>C901/100*329</f>
        <v>329</v>
      </c>
      <c r="E901" s="11">
        <f>C901/100*8.2</f>
        <v>8.1999999999999993</v>
      </c>
      <c r="F901" s="11">
        <f>C901/100*1.3</f>
        <v>1.3</v>
      </c>
      <c r="G901" s="11">
        <f>C901/100*71</f>
        <v>71</v>
      </c>
      <c r="H901" s="11">
        <f t="shared" si="41"/>
        <v>0</v>
      </c>
      <c r="I901" s="70"/>
      <c r="J901" s="70"/>
      <c r="K901" s="70"/>
      <c r="L901" s="11">
        <f>C901/100*5.5926662</f>
        <v>5.5926662</v>
      </c>
      <c r="M901" s="3">
        <v>1</v>
      </c>
    </row>
    <row r="902" spans="2:13">
      <c r="B902" s="104" t="s">
        <v>566</v>
      </c>
      <c r="C902" s="4">
        <v>100</v>
      </c>
      <c r="D902" s="5">
        <f>C902/100*103</f>
        <v>103</v>
      </c>
      <c r="E902" s="11">
        <f>C902/100*20</f>
        <v>20</v>
      </c>
      <c r="F902" s="11">
        <f>C902/100*2</f>
        <v>2</v>
      </c>
      <c r="G902" s="11">
        <f>C902/100*0</f>
        <v>0</v>
      </c>
      <c r="H902" s="11">
        <f>C902/100*55</f>
        <v>55</v>
      </c>
      <c r="I902" s="70"/>
      <c r="J902" s="70"/>
      <c r="K902" s="70"/>
      <c r="L902" s="70">
        <f>C902/100*0.1</f>
        <v>0.1</v>
      </c>
      <c r="M902" s="3">
        <v>3</v>
      </c>
    </row>
    <row r="903" spans="2:13">
      <c r="B903" s="104" t="s">
        <v>567</v>
      </c>
      <c r="C903" s="4">
        <v>100</v>
      </c>
      <c r="D903" s="5">
        <f>C903/100*124</f>
        <v>124</v>
      </c>
      <c r="E903" s="11">
        <f>C903/100*21.2</f>
        <v>21.2</v>
      </c>
      <c r="F903" s="11">
        <f>C903/100*3.7</f>
        <v>3.7</v>
      </c>
      <c r="G903" s="11">
        <f>C903/100*0</f>
        <v>0</v>
      </c>
      <c r="H903" s="11">
        <f>C903/100*63</f>
        <v>63</v>
      </c>
      <c r="I903" s="70"/>
      <c r="J903" s="70"/>
      <c r="K903" s="70"/>
      <c r="L903" s="11">
        <f>C903/100*0.1</f>
        <v>0.1</v>
      </c>
      <c r="M903" s="3">
        <v>3</v>
      </c>
    </row>
    <row r="904" spans="2:13">
      <c r="B904" s="104" t="s">
        <v>568</v>
      </c>
      <c r="C904" s="4">
        <v>127.6</v>
      </c>
      <c r="D904" s="5">
        <f>C904/100*267/1.276</f>
        <v>267</v>
      </c>
      <c r="E904" s="11">
        <f>C904/100*24.55/1.276</f>
        <v>24.55</v>
      </c>
      <c r="F904" s="11">
        <f>C904/100*14.44/1.276</f>
        <v>14.439999999999998</v>
      </c>
      <c r="G904" s="11">
        <f>C904/100*71.8/1.276</f>
        <v>71.8</v>
      </c>
      <c r="H904" s="11">
        <f t="shared" ref="H904:H914" si="42">C904/100*0</f>
        <v>0</v>
      </c>
      <c r="I904" s="70"/>
      <c r="J904" s="70"/>
      <c r="K904" s="70">
        <f>C904/100*0.33/1.276</f>
        <v>0.33</v>
      </c>
      <c r="L904" s="11">
        <f>C904/100*1.1797729/1.276</f>
        <v>1.1797728999999999</v>
      </c>
      <c r="M904" s="3">
        <v>3</v>
      </c>
    </row>
    <row r="905" spans="2:13">
      <c r="B905" s="81" t="s">
        <v>1096</v>
      </c>
      <c r="C905" s="4">
        <v>67</v>
      </c>
      <c r="D905" s="5">
        <f>C905/100*332/0.67</f>
        <v>332</v>
      </c>
      <c r="E905" s="11">
        <f>C905/100*23.7/0.67</f>
        <v>23.7</v>
      </c>
      <c r="F905" s="11">
        <f>C905/100*0.2/0.67</f>
        <v>0.2</v>
      </c>
      <c r="G905" s="11">
        <f>C905/100*54.4/0.67</f>
        <v>54.4</v>
      </c>
      <c r="H905" s="11">
        <f t="shared" si="42"/>
        <v>0</v>
      </c>
      <c r="I905" s="70"/>
      <c r="J905" s="70"/>
      <c r="K905" s="70"/>
      <c r="L905" s="11">
        <f>C905/100*0.1677799/0.67</f>
        <v>0.16777990000000001</v>
      </c>
      <c r="M905" s="3">
        <v>1</v>
      </c>
    </row>
    <row r="906" spans="2:13">
      <c r="B906" s="104" t="s">
        <v>569</v>
      </c>
      <c r="C906" s="4">
        <v>100</v>
      </c>
      <c r="D906" s="5">
        <f>C906/100*416</f>
        <v>416</v>
      </c>
      <c r="E906" s="11">
        <f>C906/100*25</f>
        <v>25</v>
      </c>
      <c r="F906" s="11">
        <f>C906/100*8.3</f>
        <v>8.3000000000000007</v>
      </c>
      <c r="G906" s="11">
        <f>C906/100*56.9</f>
        <v>56.9</v>
      </c>
      <c r="H906" s="11">
        <f t="shared" si="42"/>
        <v>0</v>
      </c>
      <c r="I906" s="70"/>
      <c r="J906" s="70"/>
      <c r="K906" s="70"/>
      <c r="L906" s="70">
        <f>C906/100*1.6777998</f>
        <v>1.6777998000000001</v>
      </c>
      <c r="M906" s="3">
        <v>1</v>
      </c>
    </row>
    <row r="907" spans="2:13">
      <c r="B907" s="104" t="s">
        <v>862</v>
      </c>
      <c r="C907" s="4">
        <v>40</v>
      </c>
      <c r="D907" s="5">
        <f>C907/100*154/0.4</f>
        <v>154</v>
      </c>
      <c r="E907" s="11">
        <f>C907/100*12.1/0.4</f>
        <v>12.1</v>
      </c>
      <c r="F907" s="11">
        <f>C907/100*1.1/0.4</f>
        <v>1.1000000000000001</v>
      </c>
      <c r="G907" s="11">
        <f>C907/100*23.8/0.4</f>
        <v>23.8</v>
      </c>
      <c r="H907" s="11">
        <f t="shared" si="42"/>
        <v>0</v>
      </c>
      <c r="I907" s="70"/>
      <c r="J907" s="70"/>
      <c r="K907" s="70"/>
      <c r="L907" s="11">
        <f>C907/100*0.0373691/0.4</f>
        <v>3.7369100000000002E-2</v>
      </c>
      <c r="M907" s="3">
        <v>1</v>
      </c>
    </row>
    <row r="908" spans="2:13">
      <c r="B908" s="104" t="s">
        <v>862</v>
      </c>
      <c r="C908" s="4">
        <v>40</v>
      </c>
      <c r="D908" s="5">
        <f>C908/100*154/0.4</f>
        <v>154</v>
      </c>
      <c r="E908" s="11">
        <f>C908/100*9.8/0.4</f>
        <v>9.8000000000000007</v>
      </c>
      <c r="F908" s="11">
        <f>C908/100*0/0.4</f>
        <v>0</v>
      </c>
      <c r="G908" s="11">
        <f>C908/100*25.7/0.4</f>
        <v>25.700000000000003</v>
      </c>
      <c r="H908" s="11">
        <f t="shared" si="42"/>
        <v>0</v>
      </c>
      <c r="I908" s="70"/>
      <c r="J908" s="70"/>
      <c r="K908" s="70"/>
      <c r="L908" s="11">
        <f>C908/100*0.0254212/0.4</f>
        <v>2.5421200000000001E-2</v>
      </c>
      <c r="M908" s="3">
        <v>1</v>
      </c>
    </row>
    <row r="909" spans="2:13">
      <c r="B909" s="80" t="s">
        <v>570</v>
      </c>
      <c r="C909" s="4">
        <v>100</v>
      </c>
      <c r="D909" s="5">
        <f>C909/100*45</f>
        <v>45</v>
      </c>
      <c r="E909" s="11">
        <f>C909/100*0</f>
        <v>0</v>
      </c>
      <c r="F909" s="11">
        <f>C909/100*0</f>
        <v>0</v>
      </c>
      <c r="G909" s="11">
        <f>C909/100*11.5</f>
        <v>11.5</v>
      </c>
      <c r="H909" s="11">
        <f t="shared" si="42"/>
        <v>0</v>
      </c>
      <c r="I909" s="70"/>
      <c r="J909" s="70"/>
      <c r="K909" s="70"/>
      <c r="L909" s="11">
        <f>C909/100*0.015</f>
        <v>1.4999999999999999E-2</v>
      </c>
      <c r="M909" s="19" t="s">
        <v>751</v>
      </c>
    </row>
    <row r="910" spans="2:13">
      <c r="B910" s="81" t="s">
        <v>1205</v>
      </c>
      <c r="C910" s="4">
        <v>100</v>
      </c>
      <c r="D910" s="5">
        <f>C910/100*224</f>
        <v>224</v>
      </c>
      <c r="E910" s="11">
        <f>C910/100*24.2</f>
        <v>24.2</v>
      </c>
      <c r="F910" s="11">
        <f>C910/100*0.3</f>
        <v>0.3</v>
      </c>
      <c r="G910" s="11">
        <f>C910/100*31.1</f>
        <v>31.1</v>
      </c>
      <c r="H910" s="11">
        <f t="shared" si="42"/>
        <v>0</v>
      </c>
      <c r="I910" s="70"/>
      <c r="J910" s="70"/>
      <c r="K910" s="70"/>
      <c r="L910" s="11">
        <f>C910/100*40.6</f>
        <v>40.6</v>
      </c>
      <c r="M910" s="19" t="s">
        <v>750</v>
      </c>
    </row>
    <row r="911" spans="2:13">
      <c r="B911" s="104" t="s">
        <v>571</v>
      </c>
      <c r="C911" s="4">
        <v>100</v>
      </c>
      <c r="D911" s="5">
        <f>C911/100*11</f>
        <v>11</v>
      </c>
      <c r="E911" s="11">
        <f>C911/100*0.3</f>
        <v>0.3</v>
      </c>
      <c r="F911" s="11">
        <f>C911/100*0</f>
        <v>0</v>
      </c>
      <c r="G911" s="11">
        <f>C911/100*3</f>
        <v>3</v>
      </c>
      <c r="H911" s="11">
        <f t="shared" si="42"/>
        <v>0</v>
      </c>
      <c r="I911" s="70">
        <f>C911/100*0.1</f>
        <v>0.1</v>
      </c>
      <c r="J911" s="70">
        <f>C911/100*1.2</f>
        <v>1.2</v>
      </c>
      <c r="K911" s="70">
        <f>C911/100*1.3</f>
        <v>1.3</v>
      </c>
      <c r="L911" s="70">
        <f>C911/100*0.1</f>
        <v>0.1</v>
      </c>
      <c r="M911" s="3">
        <v>6</v>
      </c>
    </row>
    <row r="912" spans="2:13">
      <c r="B912" s="104" t="s">
        <v>572</v>
      </c>
      <c r="C912" s="4">
        <v>100</v>
      </c>
      <c r="D912" s="5">
        <f>C912/100*8</f>
        <v>8</v>
      </c>
      <c r="E912" s="11">
        <f>C912/100*0.3</f>
        <v>0.3</v>
      </c>
      <c r="F912" s="11">
        <f>C912/100*0</f>
        <v>0</v>
      </c>
      <c r="G912" s="11">
        <f>C912/100*1.9</f>
        <v>1.9</v>
      </c>
      <c r="H912" s="11">
        <f t="shared" si="42"/>
        <v>0</v>
      </c>
      <c r="I912" s="70">
        <f>C912/100*0.1</f>
        <v>0.1</v>
      </c>
      <c r="J912" s="70">
        <f>C912/100*1</f>
        <v>1</v>
      </c>
      <c r="K912" s="70">
        <f>C912/100*1.1</f>
        <v>1.1000000000000001</v>
      </c>
      <c r="L912" s="70">
        <f>C912/100*0.1</f>
        <v>0.1</v>
      </c>
      <c r="M912" s="3">
        <v>6</v>
      </c>
    </row>
    <row r="913" spans="2:13">
      <c r="B913" s="104" t="s">
        <v>573</v>
      </c>
      <c r="C913" s="4">
        <v>100</v>
      </c>
      <c r="D913" s="5">
        <f>C913/100*43</f>
        <v>43</v>
      </c>
      <c r="E913" s="11">
        <f>C913/100*2.5</f>
        <v>2.5</v>
      </c>
      <c r="F913" s="11">
        <f>C913/100*0.1</f>
        <v>0.1</v>
      </c>
      <c r="G913" s="11">
        <f>C913/100*10</f>
        <v>10</v>
      </c>
      <c r="H913" s="11">
        <f t="shared" si="42"/>
        <v>0</v>
      </c>
      <c r="I913" s="70">
        <f>C913/100*1</f>
        <v>1</v>
      </c>
      <c r="J913" s="70">
        <f>C913/100*5.4</f>
        <v>5.4</v>
      </c>
      <c r="K913" s="70">
        <f>C913/100*6.4</f>
        <v>6.4</v>
      </c>
      <c r="L913" s="70">
        <f>C913/100*0</f>
        <v>0</v>
      </c>
      <c r="M913" s="3">
        <v>6</v>
      </c>
    </row>
    <row r="914" spans="2:13">
      <c r="B914" s="104" t="s">
        <v>574</v>
      </c>
      <c r="C914" s="4">
        <v>100</v>
      </c>
      <c r="D914" s="5">
        <f>C914/100*32</f>
        <v>32</v>
      </c>
      <c r="E914" s="11">
        <f>C914/100*2.5</f>
        <v>2.5</v>
      </c>
      <c r="F914" s="11">
        <f>C914/100*0.1</f>
        <v>0.1</v>
      </c>
      <c r="G914" s="11">
        <f>C914/100*7</f>
        <v>7</v>
      </c>
      <c r="H914" s="11">
        <f t="shared" si="42"/>
        <v>0</v>
      </c>
      <c r="I914" s="70">
        <f>C914/100*0.9</f>
        <v>0.9</v>
      </c>
      <c r="J914" s="70">
        <f>C914/100*3.3</f>
        <v>3.3</v>
      </c>
      <c r="K914" s="70">
        <f>C914/100*4.2</f>
        <v>4.2</v>
      </c>
      <c r="L914" s="70">
        <f>C914/100*0</f>
        <v>0</v>
      </c>
      <c r="M914" s="3">
        <v>6</v>
      </c>
    </row>
    <row r="915" spans="2:13">
      <c r="B915" s="104" t="s">
        <v>575</v>
      </c>
      <c r="C915" s="4">
        <v>100</v>
      </c>
      <c r="D915" s="5">
        <f>C915/100*84</f>
        <v>84</v>
      </c>
      <c r="E915" s="11">
        <f>C915/100*18.9</f>
        <v>18.899999999999999</v>
      </c>
      <c r="F915" s="11">
        <f>C915/100*0.4</f>
        <v>0.4</v>
      </c>
      <c r="G915" s="11">
        <f>C915/100*0</f>
        <v>0</v>
      </c>
      <c r="H915" s="11">
        <f>C915/100*55</f>
        <v>55</v>
      </c>
      <c r="I915" s="70"/>
      <c r="J915" s="70"/>
      <c r="K915" s="70"/>
      <c r="L915" s="11">
        <f>C915/100*0.2</f>
        <v>0.2</v>
      </c>
      <c r="M915" s="3">
        <v>3</v>
      </c>
    </row>
    <row r="916" spans="2:13">
      <c r="B916" s="107" t="s">
        <v>576</v>
      </c>
      <c r="C916" s="4">
        <v>100</v>
      </c>
      <c r="D916" s="5">
        <f>C916/100*136</f>
        <v>136</v>
      </c>
      <c r="E916" s="11">
        <f>C916/100*2.7</f>
        <v>2.7</v>
      </c>
      <c r="F916" s="11">
        <f>C916/100*0.1</f>
        <v>0.1</v>
      </c>
      <c r="G916" s="11">
        <f>C916/100*33.3</f>
        <v>33.299999999999997</v>
      </c>
      <c r="H916" s="11">
        <f>C916/100*0</f>
        <v>0</v>
      </c>
      <c r="I916" s="70">
        <f>C916/100*0.8</f>
        <v>0.8</v>
      </c>
      <c r="J916" s="70">
        <f>C916/100*3.1</f>
        <v>3.1</v>
      </c>
      <c r="K916" s="70">
        <f>C916/100*3.9</f>
        <v>3.9</v>
      </c>
      <c r="L916" s="11">
        <f>C916/100*5.1</f>
        <v>5.0999999999999996</v>
      </c>
      <c r="M916" s="3"/>
    </row>
    <row r="917" spans="2:13">
      <c r="B917" s="80" t="s">
        <v>577</v>
      </c>
      <c r="C917" s="4">
        <v>350</v>
      </c>
      <c r="D917" s="5">
        <f>C917/100*159/3.5</f>
        <v>159</v>
      </c>
      <c r="E917" s="11">
        <f>C917/100*0.5/3.5</f>
        <v>0.5</v>
      </c>
      <c r="F917" s="11">
        <f>C917/100*0.1/3.5</f>
        <v>0.1</v>
      </c>
      <c r="G917" s="11">
        <f>C917/100*39.9/3.5</f>
        <v>39.9</v>
      </c>
      <c r="H917" s="11">
        <f>C917/100*0</f>
        <v>0</v>
      </c>
      <c r="I917" s="70"/>
      <c r="J917" s="70"/>
      <c r="K917" s="70">
        <f>C917/100*0.1/3.5</f>
        <v>0.1</v>
      </c>
      <c r="L917" s="11">
        <f>C917/100*0/3.5</f>
        <v>0</v>
      </c>
      <c r="M917" s="19" t="s">
        <v>751</v>
      </c>
    </row>
    <row r="918" spans="2:13">
      <c r="B918" s="81" t="s">
        <v>1075</v>
      </c>
      <c r="C918" s="4">
        <v>100</v>
      </c>
      <c r="D918" s="5">
        <f>C918/100*165</f>
        <v>165</v>
      </c>
      <c r="E918" s="11">
        <f>C918/100*3.98</f>
        <v>3.98</v>
      </c>
      <c r="F918" s="11">
        <f>C918/100*5.76</f>
        <v>5.76</v>
      </c>
      <c r="G918" s="11">
        <f>C918/100*22.1</f>
        <v>22.1</v>
      </c>
      <c r="H918" s="11">
        <f>C918/100*0</f>
        <v>0</v>
      </c>
      <c r="I918" s="70"/>
      <c r="J918" s="70"/>
      <c r="K918" s="70">
        <f>C918/100*0.41</f>
        <v>0.41</v>
      </c>
      <c r="L918" s="11">
        <f>C918/100*0.7032777</f>
        <v>0.70327770000000001</v>
      </c>
      <c r="M918" s="3" t="s">
        <v>754</v>
      </c>
    </row>
    <row r="919" spans="2:13">
      <c r="B919" s="175" t="s">
        <v>578</v>
      </c>
      <c r="C919" s="4">
        <v>100</v>
      </c>
      <c r="D919" s="5">
        <f>C919/100*125</f>
        <v>125</v>
      </c>
      <c r="E919" s="11">
        <f>C919/100*20.9</f>
        <v>20.9</v>
      </c>
      <c r="F919" s="11">
        <f>C919/100*3.8</f>
        <v>3.8</v>
      </c>
      <c r="G919" s="11">
        <f>C919/100*0.2</f>
        <v>0.2</v>
      </c>
      <c r="H919" s="11">
        <f>C919/100*68</f>
        <v>68</v>
      </c>
      <c r="I919" s="70"/>
      <c r="J919" s="70"/>
      <c r="K919" s="70"/>
      <c r="L919" s="70">
        <f>C919/100*0.1</f>
        <v>0.1</v>
      </c>
      <c r="M919" s="3">
        <v>3</v>
      </c>
    </row>
    <row r="920" spans="2:13">
      <c r="B920" s="104" t="s">
        <v>579</v>
      </c>
      <c r="C920" s="4">
        <v>100</v>
      </c>
      <c r="D920" s="5">
        <f>C920/100*216</f>
        <v>216</v>
      </c>
      <c r="E920" s="11">
        <f>C920/100*18.5</f>
        <v>18.5</v>
      </c>
      <c r="F920" s="11">
        <f>C920/100*14.6</f>
        <v>14.6</v>
      </c>
      <c r="G920" s="11">
        <f>C920/100*0.2</f>
        <v>0.2</v>
      </c>
      <c r="H920" s="11">
        <f>C920/100*65</f>
        <v>65</v>
      </c>
      <c r="I920" s="70"/>
      <c r="J920" s="70"/>
      <c r="K920" s="70"/>
      <c r="L920" s="11">
        <f>C920/100*0.1</f>
        <v>0.1</v>
      </c>
      <c r="M920" s="3">
        <v>3</v>
      </c>
    </row>
    <row r="921" spans="2:13">
      <c r="B921" s="104" t="s">
        <v>580</v>
      </c>
      <c r="C921" s="4">
        <v>100</v>
      </c>
      <c r="D921" s="5">
        <f>C921/100*253</f>
        <v>253</v>
      </c>
      <c r="E921" s="11">
        <f>C921/100*17.1</f>
        <v>17.100000000000001</v>
      </c>
      <c r="F921" s="11">
        <f>C921/100*19.2</f>
        <v>19.2</v>
      </c>
      <c r="G921" s="11">
        <f>C921/100*0.1</f>
        <v>0.1</v>
      </c>
      <c r="H921" s="11">
        <f>C921/100*69</f>
        <v>69</v>
      </c>
      <c r="I921" s="70"/>
      <c r="J921" s="70"/>
      <c r="K921" s="70"/>
      <c r="L921" s="11">
        <f>C921/100*0.1</f>
        <v>0.1</v>
      </c>
      <c r="M921" s="3">
        <v>3</v>
      </c>
    </row>
    <row r="922" spans="2:13">
      <c r="B922" s="103" t="s">
        <v>581</v>
      </c>
      <c r="C922" s="4">
        <v>100</v>
      </c>
      <c r="D922" s="5">
        <f>C922/100*386</f>
        <v>386</v>
      </c>
      <c r="E922" s="11">
        <f>C922/100*14.2</f>
        <v>14.2</v>
      </c>
      <c r="F922" s="11">
        <f>C922/100*34.6</f>
        <v>34.6</v>
      </c>
      <c r="G922" s="11">
        <f>C922/100*0.1</f>
        <v>0.1</v>
      </c>
      <c r="H922" s="11">
        <f>C922/100*70</f>
        <v>70</v>
      </c>
      <c r="I922" s="70"/>
      <c r="J922" s="70"/>
      <c r="K922" s="70"/>
      <c r="L922" s="70">
        <f>C922/100*0.1</f>
        <v>0.1</v>
      </c>
      <c r="M922" s="3">
        <v>3</v>
      </c>
    </row>
    <row r="923" spans="2:13">
      <c r="B923" s="81" t="s">
        <v>809</v>
      </c>
      <c r="C923" s="4">
        <v>100</v>
      </c>
      <c r="D923" s="5">
        <f>C923/100*221</f>
        <v>221</v>
      </c>
      <c r="E923" s="11">
        <f>C923/100*18.6</f>
        <v>18.600000000000001</v>
      </c>
      <c r="F923" s="11">
        <f>C923/100*15.1</f>
        <v>15.1</v>
      </c>
      <c r="G923" s="11">
        <f>C923/100*0</f>
        <v>0</v>
      </c>
      <c r="H923" s="11">
        <f>C923/100*110</f>
        <v>110</v>
      </c>
      <c r="I923" s="70"/>
      <c r="J923" s="70"/>
      <c r="K923" s="70"/>
      <c r="L923" s="70">
        <f>C923/100*0.147443</f>
        <v>0.14744299999999999</v>
      </c>
      <c r="M923" s="3">
        <v>3</v>
      </c>
    </row>
    <row r="924" spans="2:13">
      <c r="B924" s="81" t="s">
        <v>582</v>
      </c>
      <c r="C924" s="4">
        <v>100</v>
      </c>
      <c r="D924" s="5">
        <f>C924/100*386</f>
        <v>386</v>
      </c>
      <c r="E924" s="11">
        <f>C924/100*14.2</f>
        <v>14.2</v>
      </c>
      <c r="F924" s="11">
        <f>C924/100*34.6</f>
        <v>34.6</v>
      </c>
      <c r="G924" s="11">
        <f>C924/100*0.1</f>
        <v>0.1</v>
      </c>
      <c r="H924" s="11">
        <f>C924/100*67</f>
        <v>67</v>
      </c>
      <c r="I924" s="70"/>
      <c r="J924" s="70"/>
      <c r="K924" s="70"/>
      <c r="L924" s="70">
        <f>C924/100*0.1</f>
        <v>0.1</v>
      </c>
      <c r="M924" s="3">
        <v>3</v>
      </c>
    </row>
    <row r="925" spans="2:13">
      <c r="B925" s="103" t="s">
        <v>583</v>
      </c>
      <c r="C925" s="4">
        <v>100</v>
      </c>
      <c r="D925" s="5">
        <f>C925/100*328</f>
        <v>328</v>
      </c>
      <c r="E925" s="11">
        <f>C925/100*26.7</f>
        <v>26.7</v>
      </c>
      <c r="F925" s="11">
        <f>C925/100*22.7</f>
        <v>22.7</v>
      </c>
      <c r="G925" s="11">
        <f>C925/100*0.3</f>
        <v>0.3</v>
      </c>
      <c r="H925" s="11">
        <f>C925/100*76</f>
        <v>76</v>
      </c>
      <c r="I925" s="70"/>
      <c r="J925" s="70"/>
      <c r="K925" s="70"/>
      <c r="L925" s="70">
        <f>C925/100*0.1</f>
        <v>0.1</v>
      </c>
      <c r="M925" s="3">
        <v>3</v>
      </c>
    </row>
    <row r="926" spans="2:13">
      <c r="B926" s="103" t="s">
        <v>584</v>
      </c>
      <c r="C926" s="4">
        <v>100</v>
      </c>
      <c r="D926" s="5">
        <f>C926/100*263</f>
        <v>263</v>
      </c>
      <c r="E926" s="11">
        <f>C926/100*19.3</f>
        <v>19.3</v>
      </c>
      <c r="F926" s="11">
        <f>C926/100*19.2</f>
        <v>19.2</v>
      </c>
      <c r="G926" s="11">
        <f>C926/100*0.2</f>
        <v>0.2</v>
      </c>
      <c r="H926" s="11">
        <f>C926/100*61</f>
        <v>61</v>
      </c>
      <c r="I926" s="70"/>
      <c r="J926" s="70"/>
      <c r="K926" s="70"/>
      <c r="L926" s="70">
        <f>C926/100*0.1</f>
        <v>0.1</v>
      </c>
      <c r="M926" s="3">
        <v>3</v>
      </c>
    </row>
    <row r="927" spans="2:13">
      <c r="B927" s="104" t="s">
        <v>585</v>
      </c>
      <c r="C927" s="4">
        <v>100</v>
      </c>
      <c r="D927" s="5">
        <f>C927/100*232</f>
        <v>232</v>
      </c>
      <c r="E927" s="11">
        <f>C927/100*7.5</f>
        <v>7.5</v>
      </c>
      <c r="F927" s="11">
        <f>C927/100*17.79</f>
        <v>17.79</v>
      </c>
      <c r="G927" s="11">
        <f>C927/100*6.36</f>
        <v>6.36</v>
      </c>
      <c r="H927" s="11">
        <f>C927/100*40</f>
        <v>40</v>
      </c>
      <c r="I927" s="70"/>
      <c r="J927" s="70"/>
      <c r="K927" s="70">
        <f>C927/100*0.05</f>
        <v>0.05</v>
      </c>
      <c r="L927" s="70">
        <f>C927/100*1.0860703</f>
        <v>1.0860703</v>
      </c>
      <c r="M927" s="3">
        <v>3</v>
      </c>
    </row>
    <row r="928" spans="2:13">
      <c r="B928" s="81" t="s">
        <v>933</v>
      </c>
      <c r="C928" s="4">
        <v>100</v>
      </c>
      <c r="D928" s="5">
        <f>C928/100*496</f>
        <v>496</v>
      </c>
      <c r="E928" s="11">
        <f>C928/100*19.6</f>
        <v>19.600000000000001</v>
      </c>
      <c r="F928" s="11">
        <f>C928/100*43.9</f>
        <v>43.9</v>
      </c>
      <c r="G928" s="11">
        <f>C928/100*0.1</f>
        <v>0.1</v>
      </c>
      <c r="H928" s="11">
        <f>C928/100*81</f>
        <v>81</v>
      </c>
      <c r="I928" s="70"/>
      <c r="J928" s="70"/>
      <c r="K928" s="70"/>
      <c r="L928" s="70">
        <f>C928/100*0.1423587</f>
        <v>0.1423587</v>
      </c>
      <c r="M928" s="3">
        <v>3</v>
      </c>
    </row>
    <row r="929" spans="2:13">
      <c r="B929" s="103" t="s">
        <v>586</v>
      </c>
      <c r="C929" s="4">
        <v>100</v>
      </c>
      <c r="D929" s="5">
        <f>C929/100*59</f>
        <v>59</v>
      </c>
      <c r="E929" s="11">
        <f>C929/100*0.4</f>
        <v>0.4</v>
      </c>
      <c r="F929" s="11">
        <f>C929/100*0.1</f>
        <v>0.1</v>
      </c>
      <c r="G929" s="11">
        <f>C929/100*15.7</f>
        <v>15.7</v>
      </c>
      <c r="H929" s="11">
        <f t="shared" ref="H929:H934" si="43">C929/100*0</f>
        <v>0</v>
      </c>
      <c r="I929" s="70">
        <f>C929/100*0.2</f>
        <v>0.2</v>
      </c>
      <c r="J929" s="70">
        <f>C929/100*0.3</f>
        <v>0.3</v>
      </c>
      <c r="K929" s="70">
        <f>C929/100*0.5</f>
        <v>0.5</v>
      </c>
      <c r="L929" s="70">
        <f>C929/100*0</f>
        <v>0</v>
      </c>
      <c r="M929" s="3">
        <v>2</v>
      </c>
    </row>
    <row r="930" spans="2:13">
      <c r="B930" s="103" t="s">
        <v>587</v>
      </c>
      <c r="C930" s="4">
        <v>100</v>
      </c>
      <c r="D930" s="5">
        <f>C930/100*301</f>
        <v>301</v>
      </c>
      <c r="E930" s="11">
        <f>C930/100*2.7</f>
        <v>2.7</v>
      </c>
      <c r="F930" s="11">
        <f>C930/100*0.2</f>
        <v>0.2</v>
      </c>
      <c r="G930" s="11">
        <f>C930/100*80.7</f>
        <v>80.7</v>
      </c>
      <c r="H930" s="11">
        <f t="shared" si="43"/>
        <v>0</v>
      </c>
      <c r="I930" s="70">
        <f>C930/100*1.2</f>
        <v>1.2</v>
      </c>
      <c r="J930" s="70">
        <f>C930/100*2.9</f>
        <v>2.9</v>
      </c>
      <c r="K930" s="70">
        <f>C930/100*4.1</f>
        <v>4.0999999999999996</v>
      </c>
      <c r="L930" s="70">
        <f>C930/100*0</f>
        <v>0</v>
      </c>
      <c r="M930" s="3">
        <v>2</v>
      </c>
    </row>
    <row r="931" spans="2:13">
      <c r="B931" s="81" t="s">
        <v>588</v>
      </c>
      <c r="C931" s="4">
        <v>100</v>
      </c>
      <c r="D931" s="5">
        <f>C931/100*269</f>
        <v>269</v>
      </c>
      <c r="E931" s="11">
        <f>C931/100*8.2</f>
        <v>8.1999999999999993</v>
      </c>
      <c r="F931" s="11">
        <f>C931/100*3.5</f>
        <v>3.5</v>
      </c>
      <c r="G931" s="11">
        <f>C931/100*51.1</f>
        <v>51.1</v>
      </c>
      <c r="H931" s="11">
        <f t="shared" si="43"/>
        <v>0</v>
      </c>
      <c r="I931" s="70">
        <f>C931/100*0.9</f>
        <v>0.9</v>
      </c>
      <c r="J931" s="70">
        <f>C931/100*1.3</f>
        <v>1.3</v>
      </c>
      <c r="K931" s="70">
        <f>C931/100*2.2</f>
        <v>2.2000000000000002</v>
      </c>
      <c r="L931" s="70">
        <f>C931/100*1</f>
        <v>1</v>
      </c>
      <c r="M931" s="19" t="s">
        <v>751</v>
      </c>
    </row>
    <row r="932" spans="2:13">
      <c r="B932" s="103" t="s">
        <v>589</v>
      </c>
      <c r="C932" s="4">
        <v>100</v>
      </c>
      <c r="D932" s="5">
        <f>C932/100*18</f>
        <v>18</v>
      </c>
      <c r="E932" s="11">
        <f>C932/100*2.7</f>
        <v>2.7</v>
      </c>
      <c r="F932" s="11">
        <f>C932/100*0.6</f>
        <v>0.6</v>
      </c>
      <c r="G932" s="11">
        <f>C932/100*5</f>
        <v>5</v>
      </c>
      <c r="H932" s="11">
        <f t="shared" si="43"/>
        <v>0</v>
      </c>
      <c r="I932" s="70">
        <f>C932/100*0.3</f>
        <v>0.3</v>
      </c>
      <c r="J932" s="70">
        <f>C932/100*3.4</f>
        <v>3.4</v>
      </c>
      <c r="K932" s="70">
        <f>C932/100*3.7</f>
        <v>3.7</v>
      </c>
      <c r="L932" s="70">
        <f>C932/100*0</f>
        <v>0</v>
      </c>
      <c r="M932" s="3">
        <v>6</v>
      </c>
    </row>
    <row r="933" spans="2:13">
      <c r="B933" s="104" t="s">
        <v>590</v>
      </c>
      <c r="C933" s="4">
        <v>100</v>
      </c>
      <c r="D933" s="5">
        <f>C933/100*21</f>
        <v>21</v>
      </c>
      <c r="E933" s="11">
        <f>C933/100*3.3</f>
        <v>3.3</v>
      </c>
      <c r="F933" s="11">
        <f>C933/100*0.3</f>
        <v>0.3</v>
      </c>
      <c r="G933" s="11">
        <f>C933/100*6.5</f>
        <v>6.5</v>
      </c>
      <c r="H933" s="11">
        <f t="shared" si="43"/>
        <v>0</v>
      </c>
      <c r="I933" s="70">
        <f>C933/100*0.2</f>
        <v>0.2</v>
      </c>
      <c r="J933" s="70">
        <f>C933/100*4.6</f>
        <v>4.5999999999999996</v>
      </c>
      <c r="K933" s="70">
        <f>C933/100*4.8</f>
        <v>4.8</v>
      </c>
      <c r="L933" s="70">
        <f>C933/100*0</f>
        <v>0</v>
      </c>
      <c r="M933" s="3">
        <v>6</v>
      </c>
    </row>
    <row r="934" spans="2:13">
      <c r="B934" s="81" t="s">
        <v>591</v>
      </c>
      <c r="C934" s="4">
        <v>100</v>
      </c>
      <c r="D934" s="5">
        <f>C934/100*148</f>
        <v>148</v>
      </c>
      <c r="E934" s="11">
        <f>C934/100*13.8</f>
        <v>13.8</v>
      </c>
      <c r="F934" s="11">
        <f>C934/100*1</f>
        <v>1</v>
      </c>
      <c r="G934" s="11">
        <f>C934/100*57.8</f>
        <v>57.8</v>
      </c>
      <c r="H934" s="11">
        <f t="shared" si="43"/>
        <v>0</v>
      </c>
      <c r="I934" s="70"/>
      <c r="J934" s="70"/>
      <c r="K934" s="70">
        <f>C934/100*43.1</f>
        <v>43.1</v>
      </c>
      <c r="L934" s="70">
        <f>C934/100*6.9</f>
        <v>6.9</v>
      </c>
      <c r="M934" s="3">
        <v>6</v>
      </c>
    </row>
    <row r="935" spans="2:13">
      <c r="B935" s="104" t="s">
        <v>592</v>
      </c>
      <c r="C935" s="4">
        <v>100</v>
      </c>
      <c r="D935" s="5">
        <f>C935/100*257</f>
        <v>257</v>
      </c>
      <c r="E935" s="11">
        <f>C935/100*21.4</f>
        <v>21.4</v>
      </c>
      <c r="F935" s="11">
        <f>C935/100*17.6</f>
        <v>17.600000000000001</v>
      </c>
      <c r="G935" s="11">
        <f>C935/100*0.3</f>
        <v>0.3</v>
      </c>
      <c r="H935" s="11">
        <f>C935/100*72</f>
        <v>72</v>
      </c>
      <c r="I935" s="70"/>
      <c r="J935" s="70"/>
      <c r="K935" s="70"/>
      <c r="L935" s="11">
        <f>C935/100*0.1</f>
        <v>0.1</v>
      </c>
      <c r="M935" s="3">
        <v>3</v>
      </c>
    </row>
    <row r="936" spans="2:13">
      <c r="B936" s="104" t="s">
        <v>1013</v>
      </c>
      <c r="C936" s="4">
        <v>100</v>
      </c>
      <c r="D936" s="5">
        <f>C936/100*304</f>
        <v>304</v>
      </c>
      <c r="E936" s="11">
        <f>C936/100*26.2</f>
        <v>26.2</v>
      </c>
      <c r="F936" s="11">
        <f>C936/100*20.4</f>
        <v>20.399999999999999</v>
      </c>
      <c r="G936" s="11">
        <f>C936/100*0.3</f>
        <v>0.3</v>
      </c>
      <c r="H936" s="11">
        <f>C936/100*83</f>
        <v>83</v>
      </c>
      <c r="I936" s="70"/>
      <c r="J936" s="70"/>
      <c r="K936" s="70"/>
      <c r="L936" s="11">
        <f>C936/100*0.1</f>
        <v>0.1</v>
      </c>
      <c r="M936" s="3">
        <v>3</v>
      </c>
    </row>
    <row r="937" spans="2:13">
      <c r="B937" s="92" t="s">
        <v>593</v>
      </c>
      <c r="C937" s="4">
        <v>5.0999999999999996</v>
      </c>
      <c r="D937" s="5">
        <f>C937/100*16/0.051</f>
        <v>16</v>
      </c>
      <c r="E937" s="11">
        <f>C937/100*1.4/0.051</f>
        <v>1.4</v>
      </c>
      <c r="F937" s="11">
        <f>C937/100*0.3/0.051</f>
        <v>0.3</v>
      </c>
      <c r="G937" s="11">
        <f>C937/100*1.9/0.051</f>
        <v>1.9</v>
      </c>
      <c r="H937" s="11">
        <f t="shared" ref="H937:H949" si="44">C937/100*0</f>
        <v>0</v>
      </c>
      <c r="I937" s="70"/>
      <c r="J937" s="70"/>
      <c r="K937" s="70"/>
      <c r="L937" s="11">
        <f>C937/100*1.220218/0.051</f>
        <v>1.220218</v>
      </c>
      <c r="M937" s="19" t="s">
        <v>751</v>
      </c>
    </row>
    <row r="938" spans="2:13">
      <c r="B938" s="104" t="s">
        <v>989</v>
      </c>
      <c r="C938" s="4">
        <v>100</v>
      </c>
      <c r="D938" s="5">
        <f>C938/100*51</f>
        <v>51</v>
      </c>
      <c r="E938" s="11">
        <f>C938/100*1.38</f>
        <v>1.38</v>
      </c>
      <c r="F938" s="11">
        <f>C938/100*0.04</f>
        <v>0.04</v>
      </c>
      <c r="G938" s="11">
        <f>C938/100*12.04</f>
        <v>12.04</v>
      </c>
      <c r="H938" s="11">
        <f t="shared" si="44"/>
        <v>0</v>
      </c>
      <c r="I938" s="70"/>
      <c r="J938" s="70"/>
      <c r="K938" s="70">
        <f>C938/100*0.42</f>
        <v>0.42</v>
      </c>
      <c r="L938" s="11">
        <f>C938/100*0.01</f>
        <v>0.01</v>
      </c>
      <c r="M938" s="19" t="s">
        <v>751</v>
      </c>
    </row>
    <row r="939" spans="2:13">
      <c r="B939" s="104" t="s">
        <v>594</v>
      </c>
      <c r="C939" s="4">
        <v>100</v>
      </c>
      <c r="D939" s="5">
        <f>C939/100*49</f>
        <v>49</v>
      </c>
      <c r="E939" s="11">
        <f>C939/100*0.5</f>
        <v>0.5</v>
      </c>
      <c r="F939" s="11">
        <f>C939/100*0.1</f>
        <v>0.1</v>
      </c>
      <c r="G939" s="11">
        <f>C939/100*12.9</f>
        <v>12.9</v>
      </c>
      <c r="H939" s="11">
        <f t="shared" si="44"/>
        <v>0</v>
      </c>
      <c r="I939" s="70">
        <f>C939/100*0.5</f>
        <v>0.5</v>
      </c>
      <c r="J939" s="70">
        <f>C939/100*2.8</f>
        <v>2.8</v>
      </c>
      <c r="K939" s="70">
        <f>C939/100*3.3</f>
        <v>3.3</v>
      </c>
      <c r="L939" s="11">
        <f>C939/100*0</f>
        <v>0</v>
      </c>
      <c r="M939" s="3">
        <v>2</v>
      </c>
    </row>
    <row r="940" spans="2:13">
      <c r="B940" s="104" t="s">
        <v>595</v>
      </c>
      <c r="C940" s="4">
        <v>170</v>
      </c>
      <c r="D940" s="5">
        <f>C940/100*107/1.7</f>
        <v>107</v>
      </c>
      <c r="E940" s="11">
        <f>C940/100*1/1.7</f>
        <v>1</v>
      </c>
      <c r="F940" s="11">
        <f>C940/100*0.2/1.7</f>
        <v>0.2</v>
      </c>
      <c r="G940" s="11">
        <f>C940/100*25.3/1.7</f>
        <v>25.3</v>
      </c>
      <c r="H940" s="11">
        <f t="shared" si="44"/>
        <v>0</v>
      </c>
      <c r="I940" s="70"/>
      <c r="J940" s="70"/>
      <c r="K940" s="70"/>
      <c r="L940" s="11">
        <f>C940/100*0.0025421/1.7</f>
        <v>2.5420999999999998E-3</v>
      </c>
      <c r="M940" s="3">
        <v>2</v>
      </c>
    </row>
    <row r="941" spans="2:13">
      <c r="B941" s="104" t="s">
        <v>858</v>
      </c>
      <c r="C941" s="4">
        <v>150</v>
      </c>
      <c r="D941" s="5">
        <f>C941/100*94/1.5</f>
        <v>94</v>
      </c>
      <c r="E941" s="11">
        <f>C941/100*0.9/1.5</f>
        <v>0.9</v>
      </c>
      <c r="F941" s="11">
        <f>C941/100*0.2/1.5</f>
        <v>0.20000000000000004</v>
      </c>
      <c r="G941" s="11">
        <f>C941/100*22.4/1.5</f>
        <v>22.399999999999995</v>
      </c>
      <c r="H941" s="11">
        <f t="shared" si="44"/>
        <v>0</v>
      </c>
      <c r="I941" s="70"/>
      <c r="J941" s="70"/>
      <c r="K941" s="70"/>
      <c r="L941" s="11">
        <f>C941/100*0.0025421/1.5</f>
        <v>2.5420999999999998E-3</v>
      </c>
      <c r="M941" s="3">
        <v>2</v>
      </c>
    </row>
    <row r="942" spans="2:13">
      <c r="B942" s="104" t="s">
        <v>596</v>
      </c>
      <c r="C942" s="4">
        <v>80</v>
      </c>
      <c r="D942" s="5">
        <f>C942/100*56/0.8</f>
        <v>56</v>
      </c>
      <c r="E942" s="11">
        <f>C942/100*0.3/0.8</f>
        <v>0.3</v>
      </c>
      <c r="F942" s="11">
        <f>C942/100*0.1/0.8</f>
        <v>0.10000000000000002</v>
      </c>
      <c r="G942" s="11">
        <f>C942/100*13.5/0.8</f>
        <v>13.5</v>
      </c>
      <c r="H942" s="11">
        <f t="shared" si="44"/>
        <v>0</v>
      </c>
      <c r="I942" s="70"/>
      <c r="J942" s="70"/>
      <c r="K942" s="70"/>
      <c r="L942" s="70"/>
      <c r="M942" s="19" t="s">
        <v>751</v>
      </c>
    </row>
    <row r="943" spans="2:13">
      <c r="B943" s="104" t="s">
        <v>597</v>
      </c>
      <c r="C943" s="4">
        <v>100</v>
      </c>
      <c r="D943" s="5">
        <f>C943/100*49</f>
        <v>49</v>
      </c>
      <c r="E943" s="11">
        <f>C943/100*0.7</f>
        <v>0.7</v>
      </c>
      <c r="F943" s="11">
        <f>C943/100*0.1</f>
        <v>0.1</v>
      </c>
      <c r="G943" s="11">
        <f>C943/100*12.6</f>
        <v>12.6</v>
      </c>
      <c r="H943" s="11">
        <f t="shared" si="44"/>
        <v>0</v>
      </c>
      <c r="I943" s="70">
        <f>C943/100*0.9</f>
        <v>0.9</v>
      </c>
      <c r="J943" s="70">
        <f>C943/100*1</f>
        <v>1</v>
      </c>
      <c r="K943" s="70">
        <f>C943/100*1.9</f>
        <v>1.9</v>
      </c>
      <c r="L943" s="70">
        <f>C943/100*0</f>
        <v>0</v>
      </c>
      <c r="M943" s="3">
        <v>2</v>
      </c>
    </row>
    <row r="944" spans="2:13">
      <c r="B944" s="104" t="s">
        <v>902</v>
      </c>
      <c r="C944" s="4">
        <v>100</v>
      </c>
      <c r="D944" s="5">
        <f>C944/100*250</f>
        <v>250</v>
      </c>
      <c r="E944" s="11">
        <f>C944/100*2.4</f>
        <v>2.4</v>
      </c>
      <c r="F944" s="11">
        <f>C944/100*0</f>
        <v>0</v>
      </c>
      <c r="G944" s="11">
        <f>C944/100*63.8</f>
        <v>63.8</v>
      </c>
      <c r="H944" s="11">
        <f t="shared" si="44"/>
        <v>0</v>
      </c>
      <c r="I944" s="70"/>
      <c r="J944" s="70"/>
      <c r="K944" s="70">
        <f>C944/100*7.4</f>
        <v>7.4</v>
      </c>
      <c r="L944" s="11">
        <f>C944/100*0.0043216</f>
        <v>4.3216000000000001E-3</v>
      </c>
      <c r="M944" s="3">
        <v>2</v>
      </c>
    </row>
    <row r="945" spans="2:13">
      <c r="B945" s="104" t="s">
        <v>598</v>
      </c>
      <c r="C945" s="4">
        <v>132</v>
      </c>
      <c r="D945" s="5">
        <f>C945/100*476/1.32</f>
        <v>476</v>
      </c>
      <c r="E945" s="11">
        <f>C945/100*9.3/1.32</f>
        <v>9.3000000000000007</v>
      </c>
      <c r="F945" s="11">
        <f>C945/100*23.7/1.32</f>
        <v>23.7</v>
      </c>
      <c r="G945" s="11">
        <f>C945/100*56.4/1.32</f>
        <v>56.400000000000006</v>
      </c>
      <c r="H945" s="11">
        <f t="shared" si="44"/>
        <v>0</v>
      </c>
      <c r="I945" s="70"/>
      <c r="J945" s="70"/>
      <c r="K945" s="70"/>
      <c r="L945" s="11">
        <f>C945/100*0.97</f>
        <v>1.2804</v>
      </c>
      <c r="M945" s="3">
        <v>1</v>
      </c>
    </row>
    <row r="946" spans="2:13">
      <c r="B946" s="104" t="s">
        <v>599</v>
      </c>
      <c r="C946" s="4">
        <v>100</v>
      </c>
      <c r="D946" s="5">
        <f>C946/100*33</f>
        <v>33</v>
      </c>
      <c r="E946" s="11">
        <f>C946/100*4.3</f>
        <v>4.3</v>
      </c>
      <c r="F946" s="11">
        <f>C946/100*0.5</f>
        <v>0.5</v>
      </c>
      <c r="G946" s="11">
        <f>C946/100*5.2</f>
        <v>5.2</v>
      </c>
      <c r="H946" s="11">
        <f t="shared" si="44"/>
        <v>0</v>
      </c>
      <c r="I946" s="70">
        <f>C946/100*0.7</f>
        <v>0.7</v>
      </c>
      <c r="J946" s="70">
        <f>C946/100*3.7</f>
        <v>3.7</v>
      </c>
      <c r="K946" s="70">
        <f>C946/100*4.4</f>
        <v>4.4000000000000004</v>
      </c>
      <c r="L946" s="70">
        <f>C946/100*0.1</f>
        <v>0.1</v>
      </c>
      <c r="M946" s="3">
        <v>6</v>
      </c>
    </row>
    <row r="947" spans="2:13">
      <c r="B947" s="104" t="s">
        <v>600</v>
      </c>
      <c r="C947" s="4">
        <v>100</v>
      </c>
      <c r="D947" s="5">
        <f>C947/100*27</f>
        <v>27</v>
      </c>
      <c r="E947" s="11">
        <f>C947/100*3.5</f>
        <v>3.5</v>
      </c>
      <c r="F947" s="11">
        <f>C947/100*0.4</f>
        <v>0.4</v>
      </c>
      <c r="G947" s="11">
        <f>C947/100*4.3</f>
        <v>4.3</v>
      </c>
      <c r="H947" s="11">
        <f t="shared" si="44"/>
        <v>0</v>
      </c>
      <c r="I947" s="70">
        <f>C947/100*0.8</f>
        <v>0.8</v>
      </c>
      <c r="J947" s="70">
        <f>C947/100*2.9</f>
        <v>2.9</v>
      </c>
      <c r="K947" s="70">
        <f>C947/100*3.7</f>
        <v>3.7</v>
      </c>
      <c r="L947" s="70">
        <f>C947/100*0</f>
        <v>0</v>
      </c>
      <c r="M947" s="3">
        <v>6</v>
      </c>
    </row>
    <row r="948" spans="2:13">
      <c r="B948" s="104" t="s">
        <v>797</v>
      </c>
      <c r="C948" s="4">
        <v>100</v>
      </c>
      <c r="D948" s="5">
        <f>C948/100*127</f>
        <v>127</v>
      </c>
      <c r="E948" s="11">
        <f>C948/100*0</f>
        <v>0</v>
      </c>
      <c r="F948" s="11">
        <f>C948/100*1.2</f>
        <v>1.2</v>
      </c>
      <c r="G948" s="11">
        <f>C948/100*29</f>
        <v>29</v>
      </c>
      <c r="H948" s="11">
        <f t="shared" si="44"/>
        <v>0</v>
      </c>
      <c r="I948" s="70"/>
      <c r="J948" s="70"/>
      <c r="K948" s="70"/>
      <c r="L948" s="11">
        <f>C948/100*17.286422</f>
        <v>17.286422000000002</v>
      </c>
      <c r="M948" s="19" t="s">
        <v>750</v>
      </c>
    </row>
    <row r="949" spans="2:13">
      <c r="B949" s="104" t="s">
        <v>601</v>
      </c>
      <c r="C949" s="4">
        <v>100</v>
      </c>
      <c r="D949" s="5">
        <f>C949/100*211</f>
        <v>211</v>
      </c>
      <c r="E949" s="11">
        <f>C949/100*6.48</f>
        <v>6.48</v>
      </c>
      <c r="F949" s="11">
        <f>C949/100*1</f>
        <v>1</v>
      </c>
      <c r="G949" s="11">
        <f>C949/100*41.98</f>
        <v>41.98</v>
      </c>
      <c r="H949" s="11">
        <f t="shared" si="44"/>
        <v>0</v>
      </c>
      <c r="I949" s="70"/>
      <c r="J949" s="70"/>
      <c r="K949" s="70">
        <f>C949/100*1.68</f>
        <v>1.68</v>
      </c>
      <c r="L949" s="11">
        <f>C949/100*1.1754004</f>
        <v>1.1754004</v>
      </c>
      <c r="M949" s="3">
        <v>1</v>
      </c>
    </row>
    <row r="950" spans="2:13">
      <c r="B950" s="104" t="s">
        <v>602</v>
      </c>
      <c r="C950" s="4">
        <v>100</v>
      </c>
      <c r="D950" s="5">
        <f>C950/100*405</f>
        <v>405</v>
      </c>
      <c r="E950" s="11">
        <f>C950/100*12.9</f>
        <v>12.9</v>
      </c>
      <c r="F950" s="11">
        <f>C950/100*39.1</f>
        <v>39.1</v>
      </c>
      <c r="G950" s="11">
        <f>C950/100*0.3</f>
        <v>0.3</v>
      </c>
      <c r="H950" s="11">
        <f>C950/100*50</f>
        <v>50</v>
      </c>
      <c r="I950" s="70"/>
      <c r="J950" s="70"/>
      <c r="K950" s="70"/>
      <c r="L950" s="70">
        <f>C950/100*2</f>
        <v>2</v>
      </c>
      <c r="M950" s="3">
        <v>5</v>
      </c>
    </row>
    <row r="951" spans="2:13">
      <c r="B951" s="81" t="s">
        <v>1253</v>
      </c>
      <c r="C951" s="4">
        <v>100</v>
      </c>
      <c r="D951" s="5">
        <f>C951/100*186</f>
        <v>186</v>
      </c>
      <c r="E951" s="11">
        <f>C951/100*13.1</f>
        <v>13.1</v>
      </c>
      <c r="F951" s="11">
        <f>C951/100*12</f>
        <v>12</v>
      </c>
      <c r="G951" s="11">
        <f>C951/100*6.3</f>
        <v>6.3</v>
      </c>
      <c r="H951" s="11">
        <f>C951/100*50</f>
        <v>50</v>
      </c>
      <c r="I951" s="70"/>
      <c r="J951" s="70"/>
      <c r="K951" s="70"/>
      <c r="L951" s="11">
        <f>C951/100*2.7963331</f>
        <v>2.7963331</v>
      </c>
      <c r="M951" s="19">
        <v>5</v>
      </c>
    </row>
    <row r="952" spans="2:13">
      <c r="B952" s="104" t="s">
        <v>1039</v>
      </c>
      <c r="C952" s="4">
        <v>45</v>
      </c>
      <c r="D952" s="5">
        <f>C952/100*126/0.45</f>
        <v>126</v>
      </c>
      <c r="E952" s="11">
        <f>C952/100*7.7/0.45</f>
        <v>7.7</v>
      </c>
      <c r="F952" s="11">
        <f>C952/100*10.4/0.45</f>
        <v>10.4</v>
      </c>
      <c r="G952" s="11">
        <f>C952/100*0.4/0.45</f>
        <v>0.4</v>
      </c>
      <c r="H952" s="11">
        <f>C952/100*22.5/0.45</f>
        <v>22.5</v>
      </c>
      <c r="I952" s="70"/>
      <c r="J952" s="70"/>
      <c r="K952" s="70"/>
      <c r="L952" s="11">
        <f>C952/100*0.8007681/0.45</f>
        <v>0.80076809999999998</v>
      </c>
      <c r="M952" s="3">
        <v>5</v>
      </c>
    </row>
    <row r="953" spans="2:13">
      <c r="B953" s="104" t="s">
        <v>793</v>
      </c>
      <c r="C953" s="4">
        <v>38</v>
      </c>
      <c r="D953" s="5">
        <f>C953/100*77/0.38</f>
        <v>77</v>
      </c>
      <c r="E953" s="11">
        <f>C953/100*4.6/0.38</f>
        <v>4.5999999999999996</v>
      </c>
      <c r="F953" s="11">
        <f>C953/100*5.9/0.38</f>
        <v>5.9</v>
      </c>
      <c r="G953" s="11">
        <f>C953/100*1.5/0.38</f>
        <v>1.5000000000000002</v>
      </c>
      <c r="H953" s="11">
        <f>C953/100*19/0.38</f>
        <v>19</v>
      </c>
      <c r="I953" s="70"/>
      <c r="J953" s="70"/>
      <c r="K953" s="70">
        <f>C953/100*0.2/0.38</f>
        <v>0.20000000000000004</v>
      </c>
      <c r="L953" s="11">
        <f>C953/100*0.9939693/0.38</f>
        <v>0.99396929999999994</v>
      </c>
      <c r="M953" s="3">
        <v>5</v>
      </c>
    </row>
    <row r="954" spans="2:13">
      <c r="B954" s="104" t="s">
        <v>1069</v>
      </c>
      <c r="C954" s="4">
        <v>31</v>
      </c>
      <c r="D954" s="5">
        <f>C954/100*78/0.31</f>
        <v>78</v>
      </c>
      <c r="E954" s="11">
        <f>C954/100*4.3/0.31</f>
        <v>4.3</v>
      </c>
      <c r="F954" s="11">
        <f>C954/100*6.3/0.31</f>
        <v>6.3</v>
      </c>
      <c r="G954" s="11">
        <f>C954/100*0.9/0.31</f>
        <v>0.90000000000000013</v>
      </c>
      <c r="H954" s="11">
        <f>C954/100*15.5/0.31</f>
        <v>15.5</v>
      </c>
      <c r="I954" s="70"/>
      <c r="J954" s="70"/>
      <c r="K954" s="70"/>
      <c r="L954" s="11">
        <f>C954/100*0.9838008/0.31</f>
        <v>0.98380080000000003</v>
      </c>
      <c r="M954" s="3">
        <v>5</v>
      </c>
    </row>
    <row r="955" spans="2:13">
      <c r="B955" s="104" t="s">
        <v>603</v>
      </c>
      <c r="C955" s="4">
        <v>31</v>
      </c>
      <c r="D955" s="5">
        <f>C955/100*69/0.31</f>
        <v>69</v>
      </c>
      <c r="E955" s="11">
        <f>C955/100*4.2/0.31</f>
        <v>4.2</v>
      </c>
      <c r="F955" s="11">
        <f>C955/100*5.4/0.31</f>
        <v>5.4</v>
      </c>
      <c r="G955" s="11">
        <f>C955/100*0.9/0.31</f>
        <v>0.90000000000000013</v>
      </c>
      <c r="H955" s="11">
        <f>C955/100*15.5/0.31</f>
        <v>15.5</v>
      </c>
      <c r="I955" s="70"/>
      <c r="J955" s="70"/>
      <c r="K955" s="70"/>
      <c r="L955" s="11">
        <f>C955/100*0.945669/0.31</f>
        <v>0.94566900000000009</v>
      </c>
      <c r="M955" s="3">
        <v>5</v>
      </c>
    </row>
    <row r="956" spans="2:13">
      <c r="B956" s="104" t="s">
        <v>604</v>
      </c>
      <c r="C956" s="4">
        <v>35</v>
      </c>
      <c r="D956" s="5">
        <f>C956/100*89/0.35</f>
        <v>89</v>
      </c>
      <c r="E956" s="11">
        <f>C956/100*5.4/0.35</f>
        <v>5.4</v>
      </c>
      <c r="F956" s="11">
        <f>C956/100*6.9/0.35</f>
        <v>6.9</v>
      </c>
      <c r="G956" s="11">
        <f>C956/100*1.4/0.35</f>
        <v>1.4</v>
      </c>
      <c r="H956" s="11">
        <f>C956/100*17.5/0.35</f>
        <v>17.5</v>
      </c>
      <c r="I956" s="70"/>
      <c r="J956" s="70"/>
      <c r="K956" s="70"/>
      <c r="L956" s="11">
        <f>C956/100*0.7524676/0.35</f>
        <v>0.75246760000000001</v>
      </c>
      <c r="M956" s="3">
        <v>5</v>
      </c>
    </row>
    <row r="957" spans="2:13">
      <c r="B957" s="81" t="s">
        <v>1224</v>
      </c>
      <c r="C957" s="4">
        <v>100</v>
      </c>
      <c r="D957" s="5">
        <f>C957/100*18</f>
        <v>18</v>
      </c>
      <c r="E957" s="11">
        <f>C957/100*0.5</f>
        <v>0.5</v>
      </c>
      <c r="F957" s="11">
        <f>C957/100*0.2</f>
        <v>0.2</v>
      </c>
      <c r="G957" s="11">
        <f>C957/100*3.8</f>
        <v>3.8</v>
      </c>
      <c r="H957" s="11">
        <f t="shared" ref="H957:H975" si="45">C957/100*0</f>
        <v>0</v>
      </c>
      <c r="I957" s="70"/>
      <c r="J957" s="70"/>
      <c r="K957" s="70">
        <f>C957/100*0.5</f>
        <v>0.5</v>
      </c>
      <c r="L957" s="11">
        <f>C957/100*5.737567</f>
        <v>5.7375670000000003</v>
      </c>
      <c r="M957" s="3">
        <v>6</v>
      </c>
    </row>
    <row r="958" spans="2:13">
      <c r="B958" s="104" t="s">
        <v>914</v>
      </c>
      <c r="C958" s="4">
        <v>100</v>
      </c>
      <c r="D958" s="5">
        <f>C958/100*18</f>
        <v>18</v>
      </c>
      <c r="E958" s="11">
        <f>C958/100*0.2</f>
        <v>0.2</v>
      </c>
      <c r="F958" s="11">
        <f>C958/100*0.3</f>
        <v>0.3</v>
      </c>
      <c r="G958" s="11">
        <f>C958/100*3.6</f>
        <v>3.6</v>
      </c>
      <c r="H958" s="11">
        <f t="shared" si="45"/>
        <v>0</v>
      </c>
      <c r="I958" s="70"/>
      <c r="J958" s="70"/>
      <c r="K958" s="70"/>
      <c r="L958" s="11">
        <f>C958/100*6.1010904</f>
        <v>6.1010904000000004</v>
      </c>
      <c r="M958" s="3">
        <v>6</v>
      </c>
    </row>
    <row r="959" spans="2:13">
      <c r="B959" s="104" t="s">
        <v>983</v>
      </c>
      <c r="C959" s="4">
        <v>100</v>
      </c>
      <c r="D959" s="5">
        <f>C959/100*56</f>
        <v>56</v>
      </c>
      <c r="E959" s="11">
        <f>C959/100*10.8</f>
        <v>10.8</v>
      </c>
      <c r="F959" s="11">
        <f>C959/100*0</f>
        <v>0</v>
      </c>
      <c r="G959" s="11">
        <f>C959/100*2</f>
        <v>2</v>
      </c>
      <c r="H959" s="11">
        <f t="shared" si="45"/>
        <v>0</v>
      </c>
      <c r="I959" s="70"/>
      <c r="J959" s="70"/>
      <c r="K959" s="70"/>
      <c r="L959" s="11">
        <f>C959/100*1.6091625</f>
        <v>1.6091625000000001</v>
      </c>
      <c r="M959" s="3">
        <v>3</v>
      </c>
    </row>
    <row r="960" spans="2:13">
      <c r="B960" s="81" t="s">
        <v>605</v>
      </c>
      <c r="C960" s="4">
        <v>100</v>
      </c>
      <c r="D960" s="5">
        <f>C960/100*126/0.14</f>
        <v>899.99999999999989</v>
      </c>
      <c r="E960" s="11">
        <f>C960/100*0/0.14</f>
        <v>0</v>
      </c>
      <c r="F960" s="11">
        <f>C960/100*14/0.14</f>
        <v>99.999999999999986</v>
      </c>
      <c r="G960" s="11">
        <f>C960/100*0/0.14</f>
        <v>0</v>
      </c>
      <c r="H960" s="11">
        <f t="shared" si="45"/>
        <v>0</v>
      </c>
      <c r="I960" s="70"/>
      <c r="J960" s="70"/>
      <c r="K960" s="70"/>
      <c r="L960" s="70"/>
      <c r="M960" s="3">
        <v>5</v>
      </c>
    </row>
    <row r="961" spans="2:13">
      <c r="B961" s="104" t="s">
        <v>819</v>
      </c>
      <c r="C961" s="4">
        <v>100</v>
      </c>
      <c r="D961" s="5">
        <f>C961/100*422</f>
        <v>422</v>
      </c>
      <c r="E961" s="11">
        <f>C961/100*1.7</f>
        <v>1.7</v>
      </c>
      <c r="F961" s="11">
        <f>C961/100*38.3</f>
        <v>38.299999999999997</v>
      </c>
      <c r="G961" s="11">
        <f>C961/100*17.6</f>
        <v>17.600000000000001</v>
      </c>
      <c r="H961" s="11">
        <f t="shared" si="45"/>
        <v>0</v>
      </c>
      <c r="I961" s="70"/>
      <c r="J961" s="70"/>
      <c r="K961" s="70"/>
      <c r="L961" s="11">
        <f>C961/100*0.0584687</f>
        <v>5.8468699999999998E-2</v>
      </c>
      <c r="M961" s="3">
        <v>5</v>
      </c>
    </row>
    <row r="962" spans="2:13">
      <c r="B962" s="104" t="s">
        <v>606</v>
      </c>
      <c r="C962" s="4">
        <v>100</v>
      </c>
      <c r="D962" s="5">
        <f>C962/100*294</f>
        <v>294</v>
      </c>
      <c r="E962" s="11">
        <f>C962/100*3.8</f>
        <v>3.8</v>
      </c>
      <c r="F962" s="11">
        <f>C962/100*0.4</f>
        <v>0.4</v>
      </c>
      <c r="G962" s="11">
        <f>C962/100*66.4</f>
        <v>66.400000000000006</v>
      </c>
      <c r="H962" s="11">
        <f t="shared" si="45"/>
        <v>0</v>
      </c>
      <c r="I962" s="70"/>
      <c r="J962" s="70"/>
      <c r="K962" s="70">
        <f>C962/100*4.7</f>
        <v>4.7</v>
      </c>
      <c r="L962" s="11">
        <f>C962/100*0.0559266</f>
        <v>5.59266E-2</v>
      </c>
      <c r="M962" s="3">
        <v>1</v>
      </c>
    </row>
    <row r="963" spans="2:13">
      <c r="B963" s="104" t="s">
        <v>607</v>
      </c>
      <c r="C963" s="4">
        <v>100</v>
      </c>
      <c r="D963" s="5">
        <f>C963/100*256</f>
        <v>256</v>
      </c>
      <c r="E963" s="11">
        <f>C963/100*2.6</f>
        <v>2.6</v>
      </c>
      <c r="F963" s="11">
        <f>C963/100*0.6</f>
        <v>0.6</v>
      </c>
      <c r="G963" s="11">
        <f>C963/100*67.5</f>
        <v>67.5</v>
      </c>
      <c r="H963" s="11">
        <f t="shared" si="45"/>
        <v>0</v>
      </c>
      <c r="I963" s="70"/>
      <c r="J963" s="70"/>
      <c r="K963" s="70">
        <f>C963/100*0.7</f>
        <v>0.7</v>
      </c>
      <c r="L963" s="11">
        <f>C963/100*0.1804905</f>
        <v>0.1804905</v>
      </c>
      <c r="M963" s="3">
        <v>1</v>
      </c>
    </row>
    <row r="964" spans="2:13">
      <c r="B964" s="104" t="s">
        <v>608</v>
      </c>
      <c r="C964" s="4">
        <v>100</v>
      </c>
      <c r="D964" s="5">
        <f>C964/100*20</f>
        <v>20</v>
      </c>
      <c r="E964" s="11">
        <f>C964/100*2.2</f>
        <v>2.2000000000000002</v>
      </c>
      <c r="F964" s="11">
        <f>C964/100*0.4</f>
        <v>0.4</v>
      </c>
      <c r="G964" s="11">
        <f>C964/100*3.1</f>
        <v>3.1</v>
      </c>
      <c r="H964" s="11">
        <f t="shared" si="45"/>
        <v>0</v>
      </c>
      <c r="I964" s="70">
        <f>C964/100*0.7</f>
        <v>0.7</v>
      </c>
      <c r="J964" s="70">
        <f>C964/100*2.1</f>
        <v>2.1</v>
      </c>
      <c r="K964" s="70">
        <f>C964/100*2.8</f>
        <v>2.8</v>
      </c>
      <c r="L964" s="70">
        <f>C964/100*0</f>
        <v>0</v>
      </c>
      <c r="M964" s="3">
        <v>6</v>
      </c>
    </row>
    <row r="965" spans="2:13">
      <c r="B965" s="104" t="s">
        <v>609</v>
      </c>
      <c r="C965" s="4">
        <v>100</v>
      </c>
      <c r="D965" s="5">
        <f>C965/100*25</f>
        <v>25</v>
      </c>
      <c r="E965" s="11">
        <f>C965/100*2.6</f>
        <v>2.6</v>
      </c>
      <c r="F965" s="11">
        <f>C965/100*0.5</f>
        <v>0.5</v>
      </c>
      <c r="G965" s="11">
        <f>C965/100*4</f>
        <v>4</v>
      </c>
      <c r="H965" s="11">
        <f t="shared" si="45"/>
        <v>0</v>
      </c>
      <c r="I965" s="70">
        <f>C965/100*0.6</f>
        <v>0.6</v>
      </c>
      <c r="J965" s="70">
        <f>C965/100*3</f>
        <v>3</v>
      </c>
      <c r="K965" s="70">
        <f>C965/100*3.6</f>
        <v>3.6</v>
      </c>
      <c r="L965" s="70">
        <f>C965/100*0</f>
        <v>0</v>
      </c>
      <c r="M965" s="3">
        <v>6</v>
      </c>
    </row>
    <row r="966" spans="2:13">
      <c r="B966" s="104" t="s">
        <v>610</v>
      </c>
      <c r="C966" s="4">
        <v>7</v>
      </c>
      <c r="D966" s="5">
        <f>C966/100*20/0.07</f>
        <v>20</v>
      </c>
      <c r="E966" s="11">
        <f>C966/100*0.28/0.07</f>
        <v>0.28000000000000003</v>
      </c>
      <c r="F966" s="11">
        <f>C966/100*0.04/0.07</f>
        <v>0.04</v>
      </c>
      <c r="G966" s="11">
        <f>C966/100*5.33/0.07</f>
        <v>5.33</v>
      </c>
      <c r="H966" s="11">
        <f t="shared" si="45"/>
        <v>0</v>
      </c>
      <c r="I966" s="70"/>
      <c r="J966" s="70"/>
      <c r="K966" s="70">
        <f>C966/100*0.76/0.07</f>
        <v>0.76</v>
      </c>
      <c r="L966" s="11">
        <f>C966/100*0.0016015/0.07</f>
        <v>1.6015000000000001E-3</v>
      </c>
      <c r="M966" s="3">
        <v>2</v>
      </c>
    </row>
    <row r="967" spans="2:13">
      <c r="B967" s="104" t="s">
        <v>611</v>
      </c>
      <c r="C967" s="4">
        <v>100</v>
      </c>
      <c r="D967" s="5">
        <f>C967/100*256</f>
        <v>256</v>
      </c>
      <c r="E967" s="11">
        <f>C967/100*2.6</f>
        <v>2.6</v>
      </c>
      <c r="F967" s="11">
        <f>C967/100*0.6</f>
        <v>0.6</v>
      </c>
      <c r="G967" s="11">
        <f>C967/100*67.5</f>
        <v>67.5</v>
      </c>
      <c r="H967" s="11">
        <f t="shared" si="45"/>
        <v>0</v>
      </c>
      <c r="I967" s="70"/>
      <c r="J967" s="70"/>
      <c r="K967" s="70">
        <f>C967/100*7</f>
        <v>7</v>
      </c>
      <c r="L967" s="11">
        <f>C967/100*0.1804905</f>
        <v>0.1804905</v>
      </c>
      <c r="M967" s="3">
        <v>1</v>
      </c>
    </row>
    <row r="968" spans="2:13">
      <c r="B968" s="104" t="s">
        <v>932</v>
      </c>
      <c r="C968" s="4">
        <v>100</v>
      </c>
      <c r="D968" s="5">
        <f>C968/100*303</f>
        <v>303</v>
      </c>
      <c r="E968" s="11">
        <f>C968/100*3.1</f>
        <v>3.1</v>
      </c>
      <c r="F968" s="11">
        <f>C968/100*0.6</f>
        <v>0.6</v>
      </c>
      <c r="G968" s="11">
        <f>C968/100*71.9</f>
        <v>71.900000000000006</v>
      </c>
      <c r="H968" s="11">
        <f t="shared" si="45"/>
        <v>0</v>
      </c>
      <c r="I968" s="70">
        <f>C968/100*2.4</f>
        <v>2.4</v>
      </c>
      <c r="J968" s="70">
        <f>C968/100*3.5</f>
        <v>3.5</v>
      </c>
      <c r="K968" s="70">
        <f>C968/100*5.9</f>
        <v>5.9</v>
      </c>
      <c r="L968" s="11">
        <f>C968/100*0.0457581</f>
        <v>4.5758100000000003E-2</v>
      </c>
      <c r="M968" s="3">
        <v>1</v>
      </c>
    </row>
    <row r="969" spans="2:13">
      <c r="B969" s="81" t="s">
        <v>1107</v>
      </c>
      <c r="C969" s="4">
        <v>100</v>
      </c>
      <c r="D969" s="5">
        <f>C969/100*277</f>
        <v>277</v>
      </c>
      <c r="E969" s="11">
        <f>C969/100*1.9</f>
        <v>1.9</v>
      </c>
      <c r="F969" s="11">
        <f>C969/100*0.3</f>
        <v>0.3</v>
      </c>
      <c r="G969" s="11">
        <f>C969/100*66.8</f>
        <v>66.8</v>
      </c>
      <c r="H969" s="11">
        <f t="shared" si="45"/>
        <v>0</v>
      </c>
      <c r="I969" s="70"/>
      <c r="J969" s="70"/>
      <c r="K969" s="70">
        <f>C969/100*6</f>
        <v>6</v>
      </c>
      <c r="L969" s="11">
        <f>C969/100*0.1550693</f>
        <v>0.15506929999999999</v>
      </c>
      <c r="M969" s="3">
        <v>1</v>
      </c>
    </row>
    <row r="970" spans="2:13">
      <c r="B970" s="104" t="s">
        <v>923</v>
      </c>
      <c r="C970" s="4">
        <v>100</v>
      </c>
      <c r="D970" s="5">
        <f>C970/100*294</f>
        <v>294</v>
      </c>
      <c r="E970" s="11">
        <f>C970/100*3.8</f>
        <v>3.8</v>
      </c>
      <c r="F970" s="11">
        <f>C970/100*0.4</f>
        <v>0.4</v>
      </c>
      <c r="G970" s="11">
        <f>C970/100*71.1</f>
        <v>71.099999999999994</v>
      </c>
      <c r="H970" s="11">
        <f t="shared" si="45"/>
        <v>0</v>
      </c>
      <c r="I970" s="70"/>
      <c r="J970" s="70"/>
      <c r="K970" s="70">
        <f>C970/100*4.7</f>
        <v>4.7</v>
      </c>
      <c r="L970" s="11">
        <f>C970/100*0.0559266</f>
        <v>5.59266E-2</v>
      </c>
      <c r="M970" s="3">
        <v>1</v>
      </c>
    </row>
    <row r="971" spans="2:13">
      <c r="B971" s="104" t="s">
        <v>942</v>
      </c>
      <c r="C971" s="4">
        <v>100</v>
      </c>
      <c r="D971" s="5">
        <f>C971/100*303</f>
        <v>303</v>
      </c>
      <c r="E971" s="11">
        <f>C971/100*3.1</f>
        <v>3.1</v>
      </c>
      <c r="F971" s="11">
        <f>C971/100*0.6</f>
        <v>0.6</v>
      </c>
      <c r="G971" s="11">
        <f>C971/100*71.9</f>
        <v>71.900000000000006</v>
      </c>
      <c r="H971" s="11">
        <f t="shared" si="45"/>
        <v>0</v>
      </c>
      <c r="I971" s="70">
        <f>C971/100*2.4</f>
        <v>2.4</v>
      </c>
      <c r="J971" s="70">
        <f>C971/100*3.5</f>
        <v>3.5</v>
      </c>
      <c r="K971" s="70">
        <f>C971/100*5.9</f>
        <v>5.9</v>
      </c>
      <c r="L971" s="11">
        <f>C971/100*0.0457581</f>
        <v>4.5758100000000003E-2</v>
      </c>
      <c r="M971" s="3">
        <v>1</v>
      </c>
    </row>
    <row r="972" spans="2:13">
      <c r="B972" s="104" t="s">
        <v>1058</v>
      </c>
      <c r="C972" s="4">
        <v>100</v>
      </c>
      <c r="D972" s="5">
        <f>C972/100*256</f>
        <v>256</v>
      </c>
      <c r="E972" s="11">
        <f>C972/100*2.6</f>
        <v>2.6</v>
      </c>
      <c r="F972" s="11">
        <f>C972/100*0.6</f>
        <v>0.6</v>
      </c>
      <c r="G972" s="11">
        <f>C972/100*67.5</f>
        <v>67.5</v>
      </c>
      <c r="H972" s="11">
        <f t="shared" si="45"/>
        <v>0</v>
      </c>
      <c r="I972" s="70"/>
      <c r="J972" s="70"/>
      <c r="K972" s="70">
        <f>C972/100*7</f>
        <v>7</v>
      </c>
      <c r="L972" s="11">
        <f>C972/100*0.1804905</f>
        <v>0.1804905</v>
      </c>
      <c r="M972" s="3">
        <v>1</v>
      </c>
    </row>
    <row r="973" spans="2:13">
      <c r="B973" s="104" t="s">
        <v>957</v>
      </c>
      <c r="C973" s="4">
        <v>100</v>
      </c>
      <c r="D973" s="5">
        <f>C973/100*294</f>
        <v>294</v>
      </c>
      <c r="E973" s="11">
        <f>C973/100*3.8</f>
        <v>3.8</v>
      </c>
      <c r="F973" s="11">
        <f>C973/100*0.4</f>
        <v>0.4</v>
      </c>
      <c r="G973" s="11">
        <f>C973/100*71.1</f>
        <v>71.099999999999994</v>
      </c>
      <c r="H973" s="11">
        <f t="shared" si="45"/>
        <v>0</v>
      </c>
      <c r="I973" s="70"/>
      <c r="J973" s="70"/>
      <c r="K973" s="70">
        <f>C973/100*4.7</f>
        <v>4.7</v>
      </c>
      <c r="L973" s="11">
        <f>C973/100*0.0559266</f>
        <v>5.59266E-2</v>
      </c>
      <c r="M973" s="3">
        <v>1</v>
      </c>
    </row>
    <row r="974" spans="2:13">
      <c r="B974" s="104" t="s">
        <v>612</v>
      </c>
      <c r="C974" s="4">
        <v>100</v>
      </c>
      <c r="D974" s="5">
        <f>C974/100*290</f>
        <v>290</v>
      </c>
      <c r="E974" s="11">
        <f>C974/100*3.4</f>
        <v>3.4</v>
      </c>
      <c r="F974" s="11">
        <f>C974/100*0.5</f>
        <v>0.5</v>
      </c>
      <c r="G974" s="11">
        <f>C974/100*70.2</f>
        <v>70.2</v>
      </c>
      <c r="H974" s="11">
        <f t="shared" si="45"/>
        <v>0</v>
      </c>
      <c r="I974" s="70"/>
      <c r="J974" s="70"/>
      <c r="K974" s="70">
        <f>C974/100*4.7</f>
        <v>4.7</v>
      </c>
      <c r="L974" s="11">
        <f>C974/100*0.127106</f>
        <v>0.127106</v>
      </c>
      <c r="M974" s="3">
        <v>1</v>
      </c>
    </row>
    <row r="975" spans="2:13">
      <c r="B975" s="104" t="s">
        <v>971</v>
      </c>
      <c r="C975" s="4">
        <v>100</v>
      </c>
      <c r="D975" s="5">
        <f>C975/100*301</f>
        <v>301</v>
      </c>
      <c r="E975" s="11">
        <f>C975/100*2.7</f>
        <v>2.7</v>
      </c>
      <c r="F975" s="11">
        <f>C975/100*0.2</f>
        <v>0.2</v>
      </c>
      <c r="G975" s="11">
        <f>C975/100*80.7</f>
        <v>80.7</v>
      </c>
      <c r="H975" s="11">
        <f t="shared" si="45"/>
        <v>0</v>
      </c>
      <c r="I975" s="70"/>
      <c r="J975" s="70"/>
      <c r="K975" s="70">
        <f>C975/100*4.1</f>
        <v>4.0999999999999996</v>
      </c>
      <c r="L975" s="11">
        <f>C975/100*0.0305054</f>
        <v>3.0505399999999998E-2</v>
      </c>
      <c r="M975" s="3">
        <v>2</v>
      </c>
    </row>
    <row r="976" spans="2:13">
      <c r="B976" s="104" t="s">
        <v>613</v>
      </c>
      <c r="C976" s="4">
        <v>100</v>
      </c>
      <c r="D976" s="5">
        <f>C976/100*94</f>
        <v>94</v>
      </c>
      <c r="E976" s="11">
        <f>C976/100*19.5</f>
        <v>19.5</v>
      </c>
      <c r="F976" s="11">
        <f>C976/100*0.6</f>
        <v>0.6</v>
      </c>
      <c r="G976" s="11">
        <f>C976/100*1.5</f>
        <v>1.5</v>
      </c>
      <c r="H976" s="11">
        <f>C976/100*62</f>
        <v>62</v>
      </c>
      <c r="I976" s="70"/>
      <c r="J976" s="70"/>
      <c r="K976" s="70"/>
      <c r="L976" s="70">
        <f>C976/100*1</f>
        <v>1</v>
      </c>
      <c r="M976" s="3">
        <v>3</v>
      </c>
    </row>
    <row r="977" spans="2:13">
      <c r="B977" s="104" t="s">
        <v>614</v>
      </c>
      <c r="C977" s="4">
        <v>100</v>
      </c>
      <c r="D977" s="5">
        <f>C977/100*97</f>
        <v>97</v>
      </c>
      <c r="E977" s="11">
        <f>C977/100*17.9</f>
        <v>17.899999999999999</v>
      </c>
      <c r="F977" s="11">
        <f>C977/100*0.1</f>
        <v>0.1</v>
      </c>
      <c r="G977" s="11">
        <f>C977/100*4.9</f>
        <v>4.9000000000000004</v>
      </c>
      <c r="H977" s="11">
        <f>C977/100*33</f>
        <v>33</v>
      </c>
      <c r="I977" s="70"/>
      <c r="J977" s="70"/>
      <c r="K977" s="70"/>
      <c r="L977" s="70">
        <f>C977/100*0.3</f>
        <v>0.3</v>
      </c>
      <c r="M977" s="3">
        <v>3</v>
      </c>
    </row>
    <row r="978" spans="2:13">
      <c r="B978" s="104" t="s">
        <v>615</v>
      </c>
      <c r="C978" s="4">
        <v>100</v>
      </c>
      <c r="D978" s="5">
        <f>C978/100*322</f>
        <v>322</v>
      </c>
      <c r="E978" s="11">
        <f>C978/100*65.7</f>
        <v>65.7</v>
      </c>
      <c r="F978" s="11">
        <f>C978/100*1.4</f>
        <v>1.4</v>
      </c>
      <c r="G978" s="11">
        <f>C978/100*7.6</f>
        <v>7.6</v>
      </c>
      <c r="H978" s="11">
        <f>C978/100*150</f>
        <v>150</v>
      </c>
      <c r="I978" s="70"/>
      <c r="J978" s="70"/>
      <c r="K978" s="70"/>
      <c r="L978" s="70">
        <f>C978/100*6.4</f>
        <v>6.4</v>
      </c>
      <c r="M978" s="3">
        <v>3</v>
      </c>
    </row>
    <row r="979" spans="2:13">
      <c r="B979" s="104" t="s">
        <v>616</v>
      </c>
      <c r="C979" s="4">
        <v>100</v>
      </c>
      <c r="D979" s="5">
        <f>C979/100*72</f>
        <v>72</v>
      </c>
      <c r="E979" s="11">
        <f>C979/100*13.5</f>
        <v>13.5</v>
      </c>
      <c r="F979" s="11">
        <f>C979/100*0.9</f>
        <v>0.9</v>
      </c>
      <c r="G979" s="11">
        <f>C979/100*1.5</f>
        <v>1.5</v>
      </c>
      <c r="H979" s="11">
        <f>C979/100*33</f>
        <v>33</v>
      </c>
      <c r="I979" s="70"/>
      <c r="J979" s="70"/>
      <c r="K979" s="70"/>
      <c r="L979" s="70">
        <f>C979/100*0.6</f>
        <v>0.6</v>
      </c>
      <c r="M979" s="3">
        <v>3</v>
      </c>
    </row>
    <row r="980" spans="2:13">
      <c r="B980" s="104" t="s">
        <v>617</v>
      </c>
      <c r="C980" s="4">
        <v>100</v>
      </c>
      <c r="D980" s="5">
        <f>C980/100*100</f>
        <v>100</v>
      </c>
      <c r="E980" s="11">
        <f>C980/100*17.6</f>
        <v>17.600000000000001</v>
      </c>
      <c r="F980" s="11">
        <f>C980/100*1.9</f>
        <v>1.9</v>
      </c>
      <c r="G980" s="11">
        <f>C980/100*1.9</f>
        <v>1.9</v>
      </c>
      <c r="H980" s="11">
        <f>C980/100*52</f>
        <v>52</v>
      </c>
      <c r="I980" s="70"/>
      <c r="J980" s="70"/>
      <c r="K980" s="70"/>
      <c r="L980" s="70">
        <f>C980/100*0.6</f>
        <v>0.6</v>
      </c>
      <c r="M980" s="3">
        <v>3</v>
      </c>
    </row>
    <row r="981" spans="2:13">
      <c r="B981" s="104" t="s">
        <v>618</v>
      </c>
      <c r="C981" s="4">
        <v>65</v>
      </c>
      <c r="D981" s="5">
        <f>C981/100*65/0.65</f>
        <v>65</v>
      </c>
      <c r="E981" s="11">
        <f>C981/100*6.7/0.65</f>
        <v>6.7</v>
      </c>
      <c r="F981" s="11">
        <f>C981/100*0.5/0.65</f>
        <v>0.5</v>
      </c>
      <c r="G981" s="11">
        <f>C981/100*8.4/0.65</f>
        <v>8.4</v>
      </c>
      <c r="H981" s="11">
        <f t="shared" ref="H981:H986" si="46">C981/100*0</f>
        <v>0</v>
      </c>
      <c r="I981" s="70"/>
      <c r="J981" s="70"/>
      <c r="K981" s="70"/>
      <c r="L981" s="11">
        <f>C981/100*1.5201883/0.65</f>
        <v>1.5201883</v>
      </c>
      <c r="M981" s="3">
        <v>3</v>
      </c>
    </row>
    <row r="982" spans="2:13">
      <c r="B982" s="104" t="s">
        <v>619</v>
      </c>
      <c r="C982" s="4">
        <v>14</v>
      </c>
      <c r="D982" s="5">
        <f>C982/100*61/0.14</f>
        <v>61</v>
      </c>
      <c r="E982" s="11">
        <f>C982/100*0.5/0.14</f>
        <v>0.5</v>
      </c>
      <c r="F982" s="11">
        <f>C982/100*1.4/0.14</f>
        <v>1.4</v>
      </c>
      <c r="G982" s="11">
        <f>C982/100*11.5/0.14</f>
        <v>11.5</v>
      </c>
      <c r="H982" s="11">
        <f t="shared" si="46"/>
        <v>0</v>
      </c>
      <c r="I982" s="70"/>
      <c r="J982" s="70"/>
      <c r="K982" s="70"/>
      <c r="L982" s="11">
        <f>C982/100*0.2465857/0.14</f>
        <v>0.24658570000000002</v>
      </c>
      <c r="M982" s="19" t="s">
        <v>751</v>
      </c>
    </row>
    <row r="983" spans="2:13">
      <c r="B983" s="104" t="s">
        <v>620</v>
      </c>
      <c r="C983" s="4">
        <v>67.260000000000005</v>
      </c>
      <c r="D983" s="5">
        <f>C983/100*180/0.6726</f>
        <v>180.00000000000003</v>
      </c>
      <c r="E983" s="11">
        <f>C983/100*4.63/0.6726</f>
        <v>4.6300000000000008</v>
      </c>
      <c r="F983" s="11">
        <f>C983/100*0.61/0.6726</f>
        <v>0.6100000000000001</v>
      </c>
      <c r="G983" s="11">
        <f>C983/100*38.62/0.6726</f>
        <v>38.620000000000005</v>
      </c>
      <c r="H983" s="11">
        <f t="shared" si="46"/>
        <v>0</v>
      </c>
      <c r="I983" s="70"/>
      <c r="J983" s="70"/>
      <c r="K983" s="70">
        <f>C983/100*3.19/0.6726</f>
        <v>3.1900000000000008</v>
      </c>
      <c r="L983" s="11">
        <f>C983/100*0.1609416/0.6726</f>
        <v>0.16094160000000002</v>
      </c>
      <c r="M983" s="3" t="s">
        <v>754</v>
      </c>
    </row>
    <row r="984" spans="2:13">
      <c r="B984" s="104" t="s">
        <v>621</v>
      </c>
      <c r="C984" s="4">
        <v>18</v>
      </c>
      <c r="D984" s="5">
        <f>C984/100*33/0.18</f>
        <v>33</v>
      </c>
      <c r="E984" s="11">
        <f>C984/100*1.7/0.18</f>
        <v>1.7</v>
      </c>
      <c r="F984" s="11">
        <f>C984/100*0.8/0.18</f>
        <v>0.79999999999999993</v>
      </c>
      <c r="G984" s="11">
        <f>C984/100*4.8/0.18</f>
        <v>4.8</v>
      </c>
      <c r="H984" s="11">
        <f t="shared" si="46"/>
        <v>0</v>
      </c>
      <c r="I984" s="70">
        <f>C984/100*0.108/0.18</f>
        <v>0.108</v>
      </c>
      <c r="J984" s="70">
        <f>C984/100*0.63/0.18</f>
        <v>0.63</v>
      </c>
      <c r="K984" s="70">
        <f>C984/100*0.738/0.18</f>
        <v>0.73799999999999999</v>
      </c>
      <c r="L984" s="11">
        <f>C984/100*2.2116452/0.18</f>
        <v>2.2116452</v>
      </c>
      <c r="M984" s="19" t="s">
        <v>750</v>
      </c>
    </row>
    <row r="985" spans="2:13">
      <c r="B985" s="104" t="s">
        <v>622</v>
      </c>
      <c r="C985" s="4">
        <v>100</v>
      </c>
      <c r="D985" s="5">
        <f>C985/100*183</f>
        <v>183</v>
      </c>
      <c r="E985" s="11">
        <f>C985/100*12.2</f>
        <v>12.2</v>
      </c>
      <c r="F985" s="11">
        <f>C985/100*4.7</f>
        <v>4.7</v>
      </c>
      <c r="G985" s="11">
        <f>C985/100*23</f>
        <v>23</v>
      </c>
      <c r="H985" s="11">
        <f t="shared" si="46"/>
        <v>0</v>
      </c>
      <c r="I985" s="70"/>
      <c r="J985" s="70"/>
      <c r="K985" s="70">
        <f>C985/100*6.5</f>
        <v>6.5</v>
      </c>
      <c r="L985" s="11">
        <f>C985/100*12.5</f>
        <v>12.5</v>
      </c>
      <c r="M985" s="19" t="s">
        <v>750</v>
      </c>
    </row>
    <row r="986" spans="2:13">
      <c r="B986" s="104" t="s">
        <v>623</v>
      </c>
      <c r="C986" s="4">
        <v>100</v>
      </c>
      <c r="D986" s="5">
        <f>C986/100*73</f>
        <v>73</v>
      </c>
      <c r="E986" s="11">
        <f>C986/100*11.1</f>
        <v>11.1</v>
      </c>
      <c r="F986" s="11">
        <f>C986/100*1.1</f>
        <v>1.1000000000000001</v>
      </c>
      <c r="G986" s="11">
        <f>C986/100*3.8</f>
        <v>3.8</v>
      </c>
      <c r="H986" s="11">
        <f t="shared" si="46"/>
        <v>0</v>
      </c>
      <c r="I986" s="70"/>
      <c r="J986" s="70"/>
      <c r="K986" s="70"/>
      <c r="L986" s="70">
        <f>C986/100*0.6</f>
        <v>0.6</v>
      </c>
      <c r="M986" s="3">
        <v>3</v>
      </c>
    </row>
    <row r="987" spans="2:13">
      <c r="B987" s="104" t="s">
        <v>624</v>
      </c>
      <c r="C987" s="4">
        <v>100</v>
      </c>
      <c r="D987" s="5">
        <f>C987/100*115</f>
        <v>115</v>
      </c>
      <c r="E987" s="11">
        <f>C987/100*17.3</f>
        <v>17.3</v>
      </c>
      <c r="F987" s="11">
        <f>C987/100*4.4</f>
        <v>4.4000000000000004</v>
      </c>
      <c r="G987" s="11">
        <f>C987/100*0.1</f>
        <v>0.1</v>
      </c>
      <c r="H987" s="11">
        <f>C987/100*73</f>
        <v>73</v>
      </c>
      <c r="I987" s="70"/>
      <c r="J987" s="70"/>
      <c r="K987" s="70"/>
      <c r="L987" s="70">
        <f>C987/100*0.2</f>
        <v>0.2</v>
      </c>
      <c r="M987" s="3">
        <v>3</v>
      </c>
    </row>
    <row r="988" spans="2:13">
      <c r="B988" s="103" t="s">
        <v>625</v>
      </c>
      <c r="C988" s="4">
        <v>100</v>
      </c>
      <c r="D988" s="5">
        <f>C988/100*142</f>
        <v>142</v>
      </c>
      <c r="E988" s="11">
        <f>C988/100*18.2</f>
        <v>18.2</v>
      </c>
      <c r="F988" s="11">
        <f>C988/100*6.9</f>
        <v>6.9</v>
      </c>
      <c r="G988" s="11">
        <f>C988/100*0.1</f>
        <v>0.1</v>
      </c>
      <c r="H988" s="11">
        <f>C988/100*82</f>
        <v>82</v>
      </c>
      <c r="I988" s="70"/>
      <c r="J988" s="70"/>
      <c r="K988" s="70"/>
      <c r="L988" s="70">
        <f>C988/100*1.7</f>
        <v>1.7</v>
      </c>
      <c r="M988" s="3">
        <v>3</v>
      </c>
    </row>
    <row r="989" spans="2:13">
      <c r="B989" s="81" t="s">
        <v>1076</v>
      </c>
      <c r="C989" s="4">
        <v>100</v>
      </c>
      <c r="D989" s="5">
        <f>C989/100*296</f>
        <v>296</v>
      </c>
      <c r="E989" s="11">
        <f>C989/100*6.2</f>
        <v>6.2</v>
      </c>
      <c r="F989" s="11">
        <f>C989/100*2</f>
        <v>2</v>
      </c>
      <c r="G989" s="11">
        <f>C989/100*63.4</f>
        <v>63.4</v>
      </c>
      <c r="H989" s="11">
        <f t="shared" ref="H989:H1001" si="47">C989/100*0</f>
        <v>0</v>
      </c>
      <c r="I989" s="70"/>
      <c r="J989" s="70"/>
      <c r="K989" s="70">
        <f>C989/100*2.5</f>
        <v>2.5</v>
      </c>
      <c r="L989" s="11">
        <f>C989/100*0.063553</f>
        <v>6.3552999999999998E-2</v>
      </c>
      <c r="M989" s="19" t="s">
        <v>751</v>
      </c>
    </row>
    <row r="990" spans="2:13">
      <c r="B990" s="104" t="s">
        <v>966</v>
      </c>
      <c r="C990" s="4">
        <v>100</v>
      </c>
      <c r="D990" s="5">
        <f>C990/100*390</f>
        <v>390</v>
      </c>
      <c r="E990" s="11">
        <f>C990/100*7.3</f>
        <v>7.3</v>
      </c>
      <c r="F990" s="11">
        <f>C990/100*7.1</f>
        <v>7.1</v>
      </c>
      <c r="G990" s="11">
        <f>C990/100*75.1</f>
        <v>75.099999999999994</v>
      </c>
      <c r="H990" s="11">
        <f t="shared" si="47"/>
        <v>0</v>
      </c>
      <c r="I990" s="70"/>
      <c r="J990" s="70"/>
      <c r="K990" s="70"/>
      <c r="L990" s="11">
        <f>C990/100*1.093112</f>
        <v>1.0931120000000001</v>
      </c>
      <c r="M990" s="3">
        <v>1</v>
      </c>
    </row>
    <row r="991" spans="2:13">
      <c r="B991" s="104" t="s">
        <v>1056</v>
      </c>
      <c r="C991" s="4">
        <v>90</v>
      </c>
      <c r="D991" s="5">
        <f>C991/100*440/0.9</f>
        <v>440</v>
      </c>
      <c r="E991" s="11">
        <f>C991/100*8.2/0.9</f>
        <v>8.1999999999999993</v>
      </c>
      <c r="F991" s="11">
        <f>C991/100*20.1/0.9</f>
        <v>20.100000000000005</v>
      </c>
      <c r="G991" s="11">
        <f>C991/100*56.6/0.9</f>
        <v>56.6</v>
      </c>
      <c r="H991" s="11">
        <f t="shared" si="47"/>
        <v>0</v>
      </c>
      <c r="I991" s="70"/>
      <c r="J991" s="70"/>
      <c r="K991" s="70">
        <f>C991/100*0.05/0.9</f>
        <v>0.05</v>
      </c>
      <c r="L991" s="11">
        <f>C991/100*1.4591774/0.9</f>
        <v>1.4591774</v>
      </c>
      <c r="M991" s="19" t="s">
        <v>751</v>
      </c>
    </row>
    <row r="992" spans="2:13">
      <c r="B992" s="104" t="s">
        <v>1065</v>
      </c>
      <c r="C992" s="4">
        <v>100</v>
      </c>
      <c r="D992" s="5">
        <f>C992/100*400</f>
        <v>400</v>
      </c>
      <c r="E992" s="11">
        <f>C992/100*4.2</f>
        <v>4.2</v>
      </c>
      <c r="F992" s="11">
        <f>C992/100*0.9</f>
        <v>0.9</v>
      </c>
      <c r="G992" s="11">
        <f>C992/100*93.1</f>
        <v>93.1</v>
      </c>
      <c r="H992" s="11">
        <f t="shared" si="47"/>
        <v>0</v>
      </c>
      <c r="I992" s="70"/>
      <c r="J992" s="70"/>
      <c r="K992" s="70">
        <f>C992/100*1.35</f>
        <v>1.35</v>
      </c>
      <c r="L992" s="11">
        <f>C992/100*0.6863726</f>
        <v>0.6863726</v>
      </c>
      <c r="M992" s="3">
        <v>6</v>
      </c>
    </row>
    <row r="993" spans="2:13">
      <c r="B993" s="104" t="s">
        <v>988</v>
      </c>
      <c r="C993" s="4">
        <v>100</v>
      </c>
      <c r="D993" s="5">
        <f>C993/100*484</f>
        <v>484</v>
      </c>
      <c r="E993" s="11">
        <f>C993/100*10.2</f>
        <v>10.199999999999999</v>
      </c>
      <c r="F993" s="11">
        <f>C993/100*22.8</f>
        <v>22.8</v>
      </c>
      <c r="G993" s="11">
        <f>C993/100*59.6</f>
        <v>59.6</v>
      </c>
      <c r="H993" s="11">
        <f t="shared" si="47"/>
        <v>0</v>
      </c>
      <c r="I993" s="70">
        <f>C993/100*0.2</f>
        <v>0.2</v>
      </c>
      <c r="J993" s="70">
        <f>C993/100*9.1</f>
        <v>9.1</v>
      </c>
      <c r="K993" s="70">
        <f>C993/100*9.3</f>
        <v>9.3000000000000007</v>
      </c>
      <c r="L993" s="11">
        <f>C993/100*1.4</f>
        <v>1.4</v>
      </c>
      <c r="M993" s="3">
        <v>6</v>
      </c>
    </row>
    <row r="994" spans="2:13">
      <c r="B994" s="81" t="s">
        <v>1229</v>
      </c>
      <c r="C994" s="4">
        <v>100</v>
      </c>
      <c r="D994" s="5">
        <f>C994/100*484</f>
        <v>484</v>
      </c>
      <c r="E994" s="11">
        <f>C994/100*10.2</f>
        <v>10.199999999999999</v>
      </c>
      <c r="F994" s="11">
        <f>C994/100*22.8</f>
        <v>22.8</v>
      </c>
      <c r="G994" s="11">
        <f>C994/100*59.6</f>
        <v>59.6</v>
      </c>
      <c r="H994" s="11">
        <f t="shared" si="47"/>
        <v>0</v>
      </c>
      <c r="I994" s="70"/>
      <c r="J994" s="70"/>
      <c r="K994" s="70">
        <f>C994/100*9.3</f>
        <v>9.3000000000000007</v>
      </c>
      <c r="L994" s="11">
        <f>C994/100*1.4490089</f>
        <v>1.4490088999999999</v>
      </c>
      <c r="M994" s="19" t="s">
        <v>751</v>
      </c>
    </row>
    <row r="995" spans="2:13">
      <c r="B995" s="109" t="s">
        <v>785</v>
      </c>
      <c r="C995" s="4">
        <v>100</v>
      </c>
      <c r="D995" s="18">
        <f>C995/100*203.66</f>
        <v>203.66</v>
      </c>
      <c r="E995" s="70">
        <f>C995/100*5.66</f>
        <v>5.66</v>
      </c>
      <c r="F995" s="70">
        <f>C995/100*12.87</f>
        <v>12.87</v>
      </c>
      <c r="G995" s="70">
        <f>C995/100*14.54</f>
        <v>14.54</v>
      </c>
      <c r="H995" s="11">
        <f t="shared" si="47"/>
        <v>0</v>
      </c>
      <c r="I995" s="95">
        <f>C995/100*0.39</f>
        <v>0.39</v>
      </c>
      <c r="J995" s="95">
        <f>C995/100*0.49</f>
        <v>0.49</v>
      </c>
      <c r="K995" s="95">
        <f>C995/100*1.05</f>
        <v>1.05</v>
      </c>
      <c r="L995" s="95">
        <f>C995/100*1.13</f>
        <v>1.1299999999999999</v>
      </c>
      <c r="M995" s="3" t="s">
        <v>749</v>
      </c>
    </row>
    <row r="996" spans="2:13">
      <c r="B996" s="104" t="s">
        <v>626</v>
      </c>
      <c r="C996" s="4">
        <v>100</v>
      </c>
      <c r="D996" s="5">
        <f>C996/100*122</f>
        <v>122</v>
      </c>
      <c r="E996" s="11">
        <f>C996/100*3.13</f>
        <v>3.13</v>
      </c>
      <c r="F996" s="11">
        <f>C996/100*7.28</f>
        <v>7.28</v>
      </c>
      <c r="G996" s="11">
        <f>C996/100*11.03</f>
        <v>11.03</v>
      </c>
      <c r="H996" s="11">
        <f t="shared" si="47"/>
        <v>0</v>
      </c>
      <c r="I996" s="70"/>
      <c r="J996" s="70"/>
      <c r="K996" s="70">
        <f>C996/100*1.06</f>
        <v>1.06</v>
      </c>
      <c r="L996" s="11">
        <f>C996/100*0.83</f>
        <v>0.83</v>
      </c>
      <c r="M996" s="3" t="s">
        <v>749</v>
      </c>
    </row>
    <row r="997" spans="2:13">
      <c r="B997" s="104" t="s">
        <v>627</v>
      </c>
      <c r="C997" s="4">
        <v>100</v>
      </c>
      <c r="D997" s="5">
        <f>C997/100*528</f>
        <v>528</v>
      </c>
      <c r="E997" s="11">
        <f>C997/100*6</f>
        <v>6</v>
      </c>
      <c r="F997" s="11">
        <f>C997/100*29.5</f>
        <v>29.5</v>
      </c>
      <c r="G997" s="11">
        <f>C997/100*59.7</f>
        <v>59.7</v>
      </c>
      <c r="H997" s="11">
        <f t="shared" si="47"/>
        <v>0</v>
      </c>
      <c r="I997" s="70"/>
      <c r="J997" s="70"/>
      <c r="K997" s="70"/>
      <c r="L997" s="11">
        <f>C997/100*0.7499256</f>
        <v>0.74992559999999997</v>
      </c>
      <c r="M997" s="19" t="s">
        <v>751</v>
      </c>
    </row>
    <row r="998" spans="2:13">
      <c r="B998" s="104" t="s">
        <v>628</v>
      </c>
      <c r="C998" s="4">
        <v>100</v>
      </c>
      <c r="D998" s="5">
        <f>C998/100*554</f>
        <v>554</v>
      </c>
      <c r="E998" s="11">
        <f>C998/100*4.7</f>
        <v>4.7</v>
      </c>
      <c r="F998" s="11">
        <f>C998/100*35.2</f>
        <v>35.200000000000003</v>
      </c>
      <c r="G998" s="11">
        <f>C998/100*54.7</f>
        <v>54.7</v>
      </c>
      <c r="H998" s="11">
        <f t="shared" si="47"/>
        <v>0</v>
      </c>
      <c r="I998" s="70">
        <f>C998/100*1.1</f>
        <v>1.1000000000000001</v>
      </c>
      <c r="J998" s="70">
        <f>C998/100*3.1</f>
        <v>3.1</v>
      </c>
      <c r="K998" s="70">
        <f>C998/100*4.2</f>
        <v>4.2</v>
      </c>
      <c r="L998" s="70">
        <f>C998/100*1</f>
        <v>1</v>
      </c>
      <c r="M998" s="19" t="s">
        <v>751</v>
      </c>
    </row>
    <row r="999" spans="2:13">
      <c r="B999" s="104" t="s">
        <v>1020</v>
      </c>
      <c r="C999" s="4">
        <v>100</v>
      </c>
      <c r="D999" s="5">
        <f>C999/100*15</f>
        <v>15</v>
      </c>
      <c r="E999" s="11">
        <f>C999/100*2.1</f>
        <v>2.1</v>
      </c>
      <c r="F999" s="11">
        <f>C999/100*0.1</f>
        <v>0.1</v>
      </c>
      <c r="G999" s="11">
        <f>C999/100*2.5</f>
        <v>2.5</v>
      </c>
      <c r="H999" s="11">
        <f t="shared" si="47"/>
        <v>0</v>
      </c>
      <c r="I999" s="70">
        <f>C999/100*0.2</f>
        <v>0.2</v>
      </c>
      <c r="J999" s="70">
        <f>C999/100*2.3</f>
        <v>2.2999999999999998</v>
      </c>
      <c r="K999" s="70">
        <f>C999/100*2.5</f>
        <v>2.5</v>
      </c>
      <c r="L999" s="11">
        <f>C999/100*0.1</f>
        <v>0.1</v>
      </c>
      <c r="M999" s="3">
        <v>6</v>
      </c>
    </row>
    <row r="1000" spans="2:13">
      <c r="B1000" s="104" t="s">
        <v>629</v>
      </c>
      <c r="C1000" s="4">
        <v>100</v>
      </c>
      <c r="D1000" s="5">
        <f>C1000/100*30</f>
        <v>30</v>
      </c>
      <c r="E1000" s="11">
        <f>C1000/100*5</f>
        <v>5</v>
      </c>
      <c r="F1000" s="11">
        <f>C1000/100*0.8</f>
        <v>0.8</v>
      </c>
      <c r="G1000" s="11">
        <f>C1000/100*0.8</f>
        <v>0.8</v>
      </c>
      <c r="H1000" s="11">
        <f t="shared" si="47"/>
        <v>0</v>
      </c>
      <c r="I1000" s="70"/>
      <c r="J1000" s="70"/>
      <c r="K1000" s="70"/>
      <c r="L1000" s="70">
        <f>C1000/100*3.3</f>
        <v>3.3</v>
      </c>
      <c r="M1000" s="3">
        <v>3</v>
      </c>
    </row>
    <row r="1001" spans="2:13">
      <c r="B1001" s="104" t="s">
        <v>630</v>
      </c>
      <c r="C1001" s="4">
        <v>100</v>
      </c>
      <c r="D1001" s="5">
        <f>C1001/100*397</f>
        <v>397</v>
      </c>
      <c r="E1001" s="11">
        <f>C1001/100*3.3</f>
        <v>3.3</v>
      </c>
      <c r="F1001" s="11">
        <f>C1001/100*2.9</f>
        <v>2.9</v>
      </c>
      <c r="G1001" s="11">
        <f>C1001/100*89.3</f>
        <v>89.3</v>
      </c>
      <c r="H1001" s="11">
        <f t="shared" si="47"/>
        <v>0</v>
      </c>
      <c r="I1001" s="70"/>
      <c r="J1001" s="70"/>
      <c r="K1001" s="70">
        <f>C1001/100*0</f>
        <v>0</v>
      </c>
      <c r="L1001" s="11">
        <f>C1001/100*0.8719477503</f>
        <v>0.87194775030000005</v>
      </c>
      <c r="M1001" s="19" t="s">
        <v>751</v>
      </c>
    </row>
    <row r="1002" spans="2:13">
      <c r="B1002" s="81" t="s">
        <v>1278</v>
      </c>
      <c r="C1002" s="4">
        <v>65</v>
      </c>
      <c r="D1002" s="5">
        <f>C1002/100*339/0.65</f>
        <v>339</v>
      </c>
      <c r="E1002" s="11">
        <f>C1002/100*2.8/0.65</f>
        <v>2.8</v>
      </c>
      <c r="F1002" s="11">
        <f>C1002/100*18.3/0.65</f>
        <v>18.3</v>
      </c>
      <c r="G1002" s="11">
        <f>C1002/100*41/0.65</f>
        <v>41</v>
      </c>
      <c r="H1002" s="11">
        <f>C1002/100*0/0.65</f>
        <v>0</v>
      </c>
      <c r="I1002" s="70"/>
      <c r="J1002" s="70"/>
      <c r="K1002" s="70">
        <f>C1002/100*0.45/0.65</f>
        <v>0.45000000000000007</v>
      </c>
      <c r="L1002" s="11">
        <f>C1002/100*1.7311844/0.65</f>
        <v>1.7311844000000003</v>
      </c>
      <c r="M1002" s="19" t="s">
        <v>751</v>
      </c>
    </row>
    <row r="1003" spans="2:13">
      <c r="B1003" s="104" t="s">
        <v>631</v>
      </c>
      <c r="C1003" s="4">
        <v>15</v>
      </c>
      <c r="D1003" s="5">
        <f>C1003/100*10/0.15</f>
        <v>10</v>
      </c>
      <c r="E1003" s="11">
        <f>C1003/100*0.5/0.15</f>
        <v>0.5</v>
      </c>
      <c r="F1003" s="11">
        <f>C1003/100*0/0.15</f>
        <v>0</v>
      </c>
      <c r="G1003" s="11">
        <f>C1003/100*2/0.15</f>
        <v>2</v>
      </c>
      <c r="H1003" s="11">
        <f>C1003/100*0</f>
        <v>0</v>
      </c>
      <c r="I1003" s="70"/>
      <c r="J1003" s="70"/>
      <c r="K1003" s="70">
        <f>C1003/100*1.2964817/0.15</f>
        <v>1.2964817</v>
      </c>
      <c r="L1003" s="11">
        <f>C1003/100*1.2964817/0.15</f>
        <v>1.2964817</v>
      </c>
      <c r="M1003" s="19" t="s">
        <v>750</v>
      </c>
    </row>
    <row r="1004" spans="2:13">
      <c r="B1004" s="104" t="s">
        <v>894</v>
      </c>
      <c r="C1004" s="4">
        <v>50</v>
      </c>
      <c r="D1004" s="5">
        <f>C1004/100*60/0.5</f>
        <v>60</v>
      </c>
      <c r="E1004" s="11">
        <f>C1004/100*10.6/0.5</f>
        <v>10.6</v>
      </c>
      <c r="F1004" s="11">
        <f>C1004/100*1.7/0.5</f>
        <v>1.7</v>
      </c>
      <c r="G1004" s="11">
        <f>C1004/100*0.6/0.5</f>
        <v>0.6</v>
      </c>
      <c r="H1004" s="11">
        <f>C1004/100*0</f>
        <v>0</v>
      </c>
      <c r="I1004" s="70"/>
      <c r="J1004" s="70"/>
      <c r="K1004" s="70"/>
      <c r="L1004" s="11">
        <f>C1004/100*1.0168484/0.5</f>
        <v>1.0168484</v>
      </c>
      <c r="M1004" s="3">
        <v>3</v>
      </c>
    </row>
    <row r="1005" spans="2:13">
      <c r="B1005" s="104" t="s">
        <v>985</v>
      </c>
      <c r="C1005" s="4">
        <v>10</v>
      </c>
      <c r="D1005" s="5">
        <f>C1005/100*68/0.1</f>
        <v>68</v>
      </c>
      <c r="E1005" s="11">
        <f>C1005/100*0.09/0.1</f>
        <v>8.9999999999999983E-2</v>
      </c>
      <c r="F1005" s="11">
        <f>C1005/100*7.5/0.1</f>
        <v>7.5</v>
      </c>
      <c r="G1005" s="11">
        <f>C1005/100*0.02/0.1</f>
        <v>0.02</v>
      </c>
      <c r="H1005" s="11">
        <f>C1005/100*0</f>
        <v>0</v>
      </c>
      <c r="I1005" s="70"/>
      <c r="J1005" s="70"/>
      <c r="K1005" s="70"/>
      <c r="L1005" s="11">
        <f>C1005/100*0.1626957/0.1</f>
        <v>0.1626957</v>
      </c>
      <c r="M1005" s="3">
        <v>5</v>
      </c>
    </row>
    <row r="1006" spans="2:13">
      <c r="B1006" s="104" t="s">
        <v>632</v>
      </c>
      <c r="C1006" s="4">
        <v>100</v>
      </c>
      <c r="D1006" s="5">
        <f>C1006/100*16</f>
        <v>16</v>
      </c>
      <c r="E1006" s="11">
        <f>C1006/100*3.7</f>
        <v>3.7</v>
      </c>
      <c r="F1006" s="11">
        <f>C1006/100*0.7</f>
        <v>0.7</v>
      </c>
      <c r="G1006" s="11">
        <f>C1006/100*2.7</f>
        <v>2.7</v>
      </c>
      <c r="H1006" s="11">
        <f>C1006/100*0</f>
        <v>0</v>
      </c>
      <c r="I1006" s="70">
        <f>C1006/100*0.3</f>
        <v>0.3</v>
      </c>
      <c r="J1006" s="70">
        <f>C1006/100*2.4</f>
        <v>2.4</v>
      </c>
      <c r="K1006" s="70">
        <f>C1006/100*2.7</f>
        <v>2.7</v>
      </c>
      <c r="L1006" s="70">
        <f>C1006/100*0</f>
        <v>0</v>
      </c>
      <c r="M1006" s="3">
        <v>6</v>
      </c>
    </row>
    <row r="1007" spans="2:13">
      <c r="B1007" s="104" t="s">
        <v>633</v>
      </c>
      <c r="C1007" s="4">
        <v>100</v>
      </c>
      <c r="D1007" s="5">
        <f>C1007/100*17</f>
        <v>17</v>
      </c>
      <c r="E1007" s="11">
        <f>C1007/100*3.1</f>
        <v>3.1</v>
      </c>
      <c r="F1007" s="11">
        <f>C1007/100*0.8</f>
        <v>0.8</v>
      </c>
      <c r="G1007" s="11">
        <f>C1007/100*3.6</f>
        <v>3.6</v>
      </c>
      <c r="H1007" s="11">
        <f>C1007/100*0</f>
        <v>0</v>
      </c>
      <c r="I1007" s="70">
        <f>C1007/100*0.2</f>
        <v>0.2</v>
      </c>
      <c r="J1007" s="70">
        <f>C1007/100*3.4</f>
        <v>3.4</v>
      </c>
      <c r="K1007" s="70">
        <f>C1007/100*3.6</f>
        <v>3.6</v>
      </c>
      <c r="L1007" s="70">
        <f>C1007/100*0</f>
        <v>0</v>
      </c>
      <c r="M1007" s="3">
        <v>6</v>
      </c>
    </row>
    <row r="1008" spans="2:13">
      <c r="B1008" s="104" t="s">
        <v>922</v>
      </c>
      <c r="C1008" s="4">
        <v>100</v>
      </c>
      <c r="D1008" s="5">
        <f>C1008/100*217</f>
        <v>217</v>
      </c>
      <c r="E1008" s="11">
        <f>C1008/100*19.8</f>
        <v>19.8</v>
      </c>
      <c r="F1008" s="11">
        <f>C1008/100*13.9</f>
        <v>13.9</v>
      </c>
      <c r="G1008" s="11">
        <f>C1008/100*0.7</f>
        <v>0.7</v>
      </c>
      <c r="H1008" s="11">
        <f>C1008/100*65</f>
        <v>65</v>
      </c>
      <c r="I1008" s="70"/>
      <c r="J1008" s="70"/>
      <c r="K1008" s="70"/>
      <c r="L1008" s="11">
        <f>C1008/100*0.3050545</f>
        <v>0.30505450000000001</v>
      </c>
      <c r="M1008" s="3">
        <v>3</v>
      </c>
    </row>
    <row r="1009" spans="2:13">
      <c r="B1009" s="104" t="s">
        <v>861</v>
      </c>
      <c r="C1009" s="4">
        <v>100</v>
      </c>
      <c r="D1009" s="5">
        <f>C1009/100*246</f>
        <v>246</v>
      </c>
      <c r="E1009" s="11">
        <f>C1009/100*19.5</f>
        <v>19.5</v>
      </c>
      <c r="F1009" s="11">
        <f>C1009/100*13.6</f>
        <v>13.6</v>
      </c>
      <c r="G1009" s="11">
        <f>C1009/100*11.4</f>
        <v>11.4</v>
      </c>
      <c r="H1009" s="11">
        <f>C1009/100*76</f>
        <v>76</v>
      </c>
      <c r="I1009" s="70"/>
      <c r="J1009" s="70"/>
      <c r="K1009" s="70"/>
      <c r="L1009" s="11">
        <f>C1009/100*1.5506938</f>
        <v>1.5506937999999999</v>
      </c>
      <c r="M1009" s="3">
        <v>3</v>
      </c>
    </row>
    <row r="1010" spans="2:13">
      <c r="B1010" s="104" t="s">
        <v>634</v>
      </c>
      <c r="C1010" s="4">
        <v>100</v>
      </c>
      <c r="D1010" s="5">
        <f>C1010/100*360</f>
        <v>360</v>
      </c>
      <c r="E1010" s="11">
        <f>C1010/100*12.4</f>
        <v>12.4</v>
      </c>
      <c r="F1010" s="11">
        <f>C1010/100*1.6</f>
        <v>1.6</v>
      </c>
      <c r="G1010" s="11">
        <f>C1010/100*74.9</f>
        <v>74.900000000000006</v>
      </c>
      <c r="H1010" s="11">
        <f>C1010/100*0</f>
        <v>0</v>
      </c>
      <c r="I1010" s="70"/>
      <c r="J1010" s="70"/>
      <c r="K1010" s="70"/>
      <c r="L1010" s="70">
        <f>C1010/100*0.0116937</f>
        <v>1.16937E-2</v>
      </c>
      <c r="M1010" s="3">
        <v>1</v>
      </c>
    </row>
    <row r="1011" spans="2:13">
      <c r="B1011" s="104" t="s">
        <v>940</v>
      </c>
      <c r="C1011" s="4">
        <v>100</v>
      </c>
      <c r="D1011" s="5">
        <f>C1011/100*377</f>
        <v>377</v>
      </c>
      <c r="E1011" s="11">
        <f>C1011/100*4.26</f>
        <v>4.26</v>
      </c>
      <c r="F1011" s="11">
        <f>C1011/100*15.25</f>
        <v>15.25</v>
      </c>
      <c r="G1011" s="11">
        <f>C1011/100*55.14</f>
        <v>55.14</v>
      </c>
      <c r="H1011" s="11">
        <f>C1011/100*0</f>
        <v>0</v>
      </c>
      <c r="I1011" s="70"/>
      <c r="J1011" s="70"/>
      <c r="K1011" s="70">
        <f>C1011/100*0.87</f>
        <v>0.87</v>
      </c>
      <c r="L1011" s="11">
        <f>C1011/100*0.086127</f>
        <v>8.6126999999999995E-2</v>
      </c>
      <c r="M1011" s="19" t="s">
        <v>751</v>
      </c>
    </row>
    <row r="1012" spans="2:13">
      <c r="B1012" s="104" t="s">
        <v>635</v>
      </c>
      <c r="C1012" s="4">
        <v>100</v>
      </c>
      <c r="D1012" s="5">
        <f>C1012/100*143</f>
        <v>143</v>
      </c>
      <c r="E1012" s="11">
        <f>C1012/100*3.68</f>
        <v>3.68</v>
      </c>
      <c r="F1012" s="11">
        <f>C1012/100*2.13</f>
        <v>2.13</v>
      </c>
      <c r="G1012" s="11">
        <f>C1012/100*26.01</f>
        <v>26.01</v>
      </c>
      <c r="H1012" s="11">
        <f>C1012/100*0</f>
        <v>0</v>
      </c>
      <c r="I1012" s="70"/>
      <c r="J1012" s="70"/>
      <c r="K1012" s="70">
        <f>C1012/100*0.91</f>
        <v>0.91</v>
      </c>
      <c r="L1012" s="11">
        <f>C1012/100*1.1879331</f>
        <v>1.1879331</v>
      </c>
      <c r="M1012" s="3" t="s">
        <v>754</v>
      </c>
    </row>
    <row r="1013" spans="2:13">
      <c r="B1013" s="103" t="s">
        <v>636</v>
      </c>
      <c r="C1013" s="4">
        <v>100</v>
      </c>
      <c r="D1013" s="5">
        <f>C1013/100*106</f>
        <v>106</v>
      </c>
      <c r="E1013" s="11">
        <f>C1013/100*24.3</f>
        <v>24.3</v>
      </c>
      <c r="F1013" s="11">
        <f>C1013/100*0.4</f>
        <v>0.4</v>
      </c>
      <c r="G1013" s="11">
        <f>C1013/100*0</f>
        <v>0</v>
      </c>
      <c r="H1013" s="11">
        <f>C1013/100*37</f>
        <v>37</v>
      </c>
      <c r="I1013" s="70"/>
      <c r="J1013" s="70"/>
      <c r="K1013" s="70"/>
      <c r="L1013" s="70">
        <f>C1013/100*0.1</f>
        <v>0.1</v>
      </c>
      <c r="M1013" s="3">
        <v>3</v>
      </c>
    </row>
    <row r="1014" spans="2:13">
      <c r="B1014" s="81" t="s">
        <v>637</v>
      </c>
      <c r="C1014" s="4">
        <v>100</v>
      </c>
      <c r="D1014" s="5">
        <f>C1014/100*106</f>
        <v>106</v>
      </c>
      <c r="E1014" s="11">
        <f>C1014/100*24.3</f>
        <v>24.3</v>
      </c>
      <c r="F1014" s="11">
        <f>C1014/100*0.4</f>
        <v>0.4</v>
      </c>
      <c r="G1014" s="11">
        <f>C1014/100*0</f>
        <v>0</v>
      </c>
      <c r="H1014" s="11">
        <f>C1014/100*37</f>
        <v>37</v>
      </c>
      <c r="I1014" s="70"/>
      <c r="J1014" s="70"/>
      <c r="K1014" s="70"/>
      <c r="L1014" s="70">
        <f>C1014/100*0.1093112</f>
        <v>0.1093112</v>
      </c>
      <c r="M1014" s="3">
        <v>3</v>
      </c>
    </row>
    <row r="1015" spans="2:13">
      <c r="B1015" s="104" t="s">
        <v>638</v>
      </c>
      <c r="C1015" s="4">
        <v>100</v>
      </c>
      <c r="D1015" s="5">
        <f>C1015/100*125</f>
        <v>125</v>
      </c>
      <c r="E1015" s="11">
        <f>C1015/100*26.4</f>
        <v>26.4</v>
      </c>
      <c r="F1015" s="11">
        <f>C1015/100*1.4</f>
        <v>1.4</v>
      </c>
      <c r="G1015" s="11">
        <f>C1015/100*0.1</f>
        <v>0.1</v>
      </c>
      <c r="H1015" s="11">
        <f>C1015/100*0</f>
        <v>0</v>
      </c>
      <c r="I1015" s="70"/>
      <c r="J1015" s="70"/>
      <c r="K1015" s="70"/>
      <c r="L1015" s="70">
        <f>C1015/100*0.1</f>
        <v>0.1</v>
      </c>
      <c r="M1015" s="3">
        <v>3</v>
      </c>
    </row>
    <row r="1016" spans="2:13">
      <c r="B1016" s="104" t="s">
        <v>752</v>
      </c>
      <c r="C1016" s="8">
        <v>100</v>
      </c>
      <c r="D1016" s="9">
        <f>C1016/100*328</f>
        <v>328</v>
      </c>
      <c r="E1016" s="9">
        <f>C1016/100*20.1</f>
        <v>20.100000000000001</v>
      </c>
      <c r="F1016" s="9">
        <f>C1016/100*27.5</f>
        <v>27.5</v>
      </c>
      <c r="G1016" s="9">
        <f>C1016/100*0.1</f>
        <v>0.1</v>
      </c>
      <c r="H1016" s="11">
        <f>C1016/100*55</f>
        <v>55</v>
      </c>
      <c r="I1016" s="123"/>
      <c r="J1016" s="123"/>
      <c r="K1016" s="123"/>
      <c r="L1016" s="124">
        <f>C1016/100*0.1804905</f>
        <v>0.1804905</v>
      </c>
      <c r="M1016" s="3">
        <v>3</v>
      </c>
    </row>
    <row r="1017" spans="2:13">
      <c r="B1017" s="104" t="s">
        <v>639</v>
      </c>
      <c r="C1017" s="4">
        <v>100</v>
      </c>
      <c r="D1017" s="5">
        <f>C1017/100*344</f>
        <v>344</v>
      </c>
      <c r="E1017" s="11">
        <f>C1017/100*20.1</f>
        <v>20.100000000000001</v>
      </c>
      <c r="F1017" s="11">
        <f>C1017/100*27.5</f>
        <v>27.5</v>
      </c>
      <c r="G1017" s="11">
        <f>C1017/100*0.1</f>
        <v>0.1</v>
      </c>
      <c r="H1017" s="11">
        <f>C1017/100*0</f>
        <v>0</v>
      </c>
      <c r="I1017" s="70"/>
      <c r="J1017" s="70"/>
      <c r="K1017" s="70"/>
      <c r="L1017" s="11">
        <f>C1017/100*0.2</f>
        <v>0.2</v>
      </c>
      <c r="M1017" s="3">
        <v>3</v>
      </c>
    </row>
    <row r="1018" spans="2:13">
      <c r="B1018" s="81" t="s">
        <v>640</v>
      </c>
      <c r="C1018" s="4">
        <v>100</v>
      </c>
      <c r="D1018" s="5">
        <f>C1018/100*117</f>
        <v>117</v>
      </c>
      <c r="E1018" s="11">
        <f>C1018/100*26</f>
        <v>26</v>
      </c>
      <c r="F1018" s="11">
        <f>C1018/100*0.7</f>
        <v>0.7</v>
      </c>
      <c r="G1018" s="11">
        <f>C1018/100*0.2</f>
        <v>0.2</v>
      </c>
      <c r="H1018" s="11">
        <f>C1018/100*49</f>
        <v>49</v>
      </c>
      <c r="I1018" s="70"/>
      <c r="J1018" s="70"/>
      <c r="K1018" s="70"/>
      <c r="L1018" s="70">
        <f>C1018/100*0.1</f>
        <v>0.1</v>
      </c>
      <c r="M1018" s="3">
        <v>3</v>
      </c>
    </row>
    <row r="1019" spans="2:13">
      <c r="B1019" s="104" t="s">
        <v>641</v>
      </c>
      <c r="C1019" s="4">
        <v>100</v>
      </c>
      <c r="D1019" s="5">
        <f>C1019/100*93</f>
        <v>93</v>
      </c>
      <c r="E1019" s="11">
        <f>C1019/100*21.6</f>
        <v>21.6</v>
      </c>
      <c r="F1019" s="11">
        <f>C1019/100*0.1</f>
        <v>0.1</v>
      </c>
      <c r="G1019" s="11">
        <f>C1019/100*0.1</f>
        <v>0.1</v>
      </c>
      <c r="H1019" s="11">
        <f>C1019/100*52</f>
        <v>52</v>
      </c>
      <c r="I1019" s="70"/>
      <c r="J1019" s="70"/>
      <c r="K1019" s="70"/>
      <c r="L1019" s="11">
        <f>C1019/100*0.109</f>
        <v>0.109</v>
      </c>
      <c r="M1019" s="3">
        <v>3</v>
      </c>
    </row>
    <row r="1020" spans="2:13">
      <c r="B1020" s="104" t="s">
        <v>642</v>
      </c>
      <c r="C1020" s="4">
        <v>100</v>
      </c>
      <c r="D1020" s="5">
        <f>C1020/100*152</f>
        <v>152</v>
      </c>
      <c r="E1020" s="11">
        <f>C1020/100*25.2</f>
        <v>25.2</v>
      </c>
      <c r="F1020" s="11">
        <f>C1020/100*4.8</f>
        <v>4.8</v>
      </c>
      <c r="G1020" s="11">
        <f>C1020/100*0.1</f>
        <v>0.1</v>
      </c>
      <c r="H1020" s="11">
        <f>C1020/100*58</f>
        <v>58</v>
      </c>
      <c r="I1020" s="70"/>
      <c r="J1020" s="70"/>
      <c r="K1020" s="70"/>
      <c r="L1020" s="11">
        <f>C1020/100*0.107</f>
        <v>0.107</v>
      </c>
      <c r="M1020" s="3">
        <v>3</v>
      </c>
    </row>
    <row r="1021" spans="2:13">
      <c r="B1021" s="104" t="s">
        <v>643</v>
      </c>
      <c r="C1021" s="4">
        <v>100</v>
      </c>
      <c r="D1021" s="5">
        <f>C1021/100*108</f>
        <v>108</v>
      </c>
      <c r="E1021" s="11">
        <f>C1021/100*22.8</f>
        <v>22.8</v>
      </c>
      <c r="F1021" s="11">
        <f>C1021/100*1.2</f>
        <v>1.2</v>
      </c>
      <c r="G1021" s="11">
        <f>C1021/100*0.2</f>
        <v>0.2</v>
      </c>
      <c r="H1021" s="11">
        <f>C1021/100*43</f>
        <v>43</v>
      </c>
      <c r="I1021" s="70"/>
      <c r="J1021" s="70"/>
      <c r="K1021" s="70"/>
      <c r="L1021" s="70">
        <f>C1021/100*0.1</f>
        <v>0.1</v>
      </c>
      <c r="M1021" s="3">
        <v>3</v>
      </c>
    </row>
    <row r="1022" spans="2:13">
      <c r="B1022" s="104" t="s">
        <v>644</v>
      </c>
      <c r="C1022" s="4">
        <v>80</v>
      </c>
      <c r="D1022" s="5">
        <f>C1022/100*95/0.8</f>
        <v>95</v>
      </c>
      <c r="E1022" s="11">
        <f>C1022/100*13.7/0.8</f>
        <v>13.700000000000001</v>
      </c>
      <c r="F1022" s="11">
        <f>C1022/100*1.2/0.8</f>
        <v>1.2</v>
      </c>
      <c r="G1022" s="11">
        <f>C1022/100*7.4/0.8</f>
        <v>7.4</v>
      </c>
      <c r="H1022" s="11">
        <f t="shared" ref="H1022:H1027" si="48">C1022/100*0</f>
        <v>0</v>
      </c>
      <c r="I1022" s="70"/>
      <c r="J1022" s="70"/>
      <c r="K1022" s="70"/>
      <c r="L1022" s="70"/>
      <c r="M1022" s="3">
        <v>3</v>
      </c>
    </row>
    <row r="1023" spans="2:13">
      <c r="B1023" s="104" t="s">
        <v>959</v>
      </c>
      <c r="C1023" s="4">
        <v>70</v>
      </c>
      <c r="D1023" s="5">
        <f>C1023/100*192/0.7</f>
        <v>191.99999999999997</v>
      </c>
      <c r="E1023" s="11">
        <f>C1023/100*10.9/0.7</f>
        <v>10.9</v>
      </c>
      <c r="F1023" s="11">
        <f>C1023/100*16.5/0.7</f>
        <v>16.5</v>
      </c>
      <c r="G1023" s="11">
        <f>C1023/100*0.1/0.7</f>
        <v>9.9999999999999992E-2</v>
      </c>
      <c r="H1023" s="11">
        <f t="shared" si="48"/>
        <v>0</v>
      </c>
      <c r="I1023" s="70"/>
      <c r="J1023" s="70"/>
      <c r="K1023" s="70"/>
      <c r="L1023" s="11">
        <f>C1023/100*0.8541526/0.7</f>
        <v>0.85415259999999993</v>
      </c>
      <c r="M1023" s="19" t="s">
        <v>751</v>
      </c>
    </row>
    <row r="1024" spans="2:13">
      <c r="B1024" s="104" t="s">
        <v>805</v>
      </c>
      <c r="C1024" s="4">
        <v>100</v>
      </c>
      <c r="D1024" s="5">
        <f>C1024/100*11</f>
        <v>11</v>
      </c>
      <c r="E1024" s="11">
        <f>C1024/100*2.9</f>
        <v>2.9</v>
      </c>
      <c r="F1024" s="11">
        <f>C1024/100*0.3</f>
        <v>0.3</v>
      </c>
      <c r="G1024" s="11">
        <f>C1024/100*2.1</f>
        <v>2.1</v>
      </c>
      <c r="H1024" s="11">
        <f t="shared" si="48"/>
        <v>0</v>
      </c>
      <c r="I1024" s="70"/>
      <c r="J1024" s="70"/>
      <c r="K1024" s="70">
        <f>C1024/100*2</f>
        <v>2</v>
      </c>
      <c r="L1024" s="11">
        <f>C1024/100*0.0152527</f>
        <v>1.5252699999999999E-2</v>
      </c>
      <c r="M1024" s="3">
        <v>6</v>
      </c>
    </row>
    <row r="1025" spans="2:13">
      <c r="B1025" s="104" t="s">
        <v>950</v>
      </c>
      <c r="C1025" s="4">
        <v>100</v>
      </c>
      <c r="D1025" s="5">
        <f>C1025/100*23</f>
        <v>23</v>
      </c>
      <c r="E1025" s="11">
        <f>C1025/100*2</f>
        <v>2</v>
      </c>
      <c r="F1025" s="11">
        <f>C1025/100*0.6</f>
        <v>0.6</v>
      </c>
      <c r="G1025" s="11">
        <f>C1025/100*8.2</f>
        <v>8.1999999999999993</v>
      </c>
      <c r="H1025" s="11">
        <f t="shared" si="48"/>
        <v>0</v>
      </c>
      <c r="I1025" s="70"/>
      <c r="J1025" s="70"/>
      <c r="K1025" s="70">
        <f>C1025/100*4.7</f>
        <v>4.7</v>
      </c>
      <c r="L1025" s="11">
        <f>C1025/100*0</f>
        <v>0</v>
      </c>
      <c r="M1025" s="3">
        <v>6</v>
      </c>
    </row>
    <row r="1026" spans="2:13">
      <c r="B1026" s="104" t="s">
        <v>645</v>
      </c>
      <c r="C1026" s="4">
        <v>100</v>
      </c>
      <c r="D1026" s="5">
        <f>C1026/100*94</f>
        <v>94</v>
      </c>
      <c r="E1026" s="11">
        <f>C1026/100*7.2</f>
        <v>7.2</v>
      </c>
      <c r="F1026" s="11">
        <f>C1026/100*0.4</f>
        <v>0.4</v>
      </c>
      <c r="G1026" s="11">
        <f>C1026/100*15.4</f>
        <v>15.4</v>
      </c>
      <c r="H1026" s="11">
        <f t="shared" si="48"/>
        <v>0</v>
      </c>
      <c r="I1026" s="70">
        <f>C1026/100*0.1</f>
        <v>0.1</v>
      </c>
      <c r="J1026" s="70">
        <f>C1026/100*0.4</f>
        <v>0.4</v>
      </c>
      <c r="K1026" s="70">
        <f>C1026/100*0.5</f>
        <v>0.5</v>
      </c>
      <c r="L1026" s="11">
        <f>C1026/100*4.5758178</f>
        <v>4.5758178000000003</v>
      </c>
      <c r="M1026" s="19" t="s">
        <v>751</v>
      </c>
    </row>
    <row r="1027" spans="2:13">
      <c r="B1027" s="104" t="s">
        <v>646</v>
      </c>
      <c r="C1027" s="4">
        <v>100</v>
      </c>
      <c r="D1027" s="5">
        <f>C1027/100*118/0.281</f>
        <v>419.92882562277578</v>
      </c>
      <c r="E1027" s="11">
        <f>C1027/100*1.67/0.281</f>
        <v>5.9430604982206399</v>
      </c>
      <c r="F1027" s="11">
        <f>C1027/100*7.59/0.281</f>
        <v>27.010676156583628</v>
      </c>
      <c r="G1027" s="11">
        <f>C1027/100*10.13/0.281</f>
        <v>36.04982206405694</v>
      </c>
      <c r="H1027" s="11">
        <f t="shared" si="48"/>
        <v>0</v>
      </c>
      <c r="I1027" s="70"/>
      <c r="J1027" s="70"/>
      <c r="K1027" s="70">
        <f>C1027/100*0.2/0.281</f>
        <v>0.71174377224199281</v>
      </c>
      <c r="L1027" s="11">
        <f>C1027/100*0.0656629/0.281</f>
        <v>0.23367580071174374</v>
      </c>
      <c r="M1027" s="19" t="s">
        <v>751</v>
      </c>
    </row>
    <row r="1028" spans="2:13">
      <c r="B1028" s="104" t="s">
        <v>1037</v>
      </c>
      <c r="C1028" s="4">
        <v>100</v>
      </c>
      <c r="D1028" s="5">
        <f>C1028/100*236</f>
        <v>236</v>
      </c>
      <c r="E1028" s="11">
        <f>C1028/100*17.9</f>
        <v>17.899999999999999</v>
      </c>
      <c r="F1028" s="11">
        <f>C1028/100*17</f>
        <v>17</v>
      </c>
      <c r="G1028" s="11">
        <f>C1028/100*0.1</f>
        <v>0.1</v>
      </c>
      <c r="H1028" s="11">
        <f>C1028/100*77</f>
        <v>77</v>
      </c>
      <c r="I1028" s="70"/>
      <c r="J1028" s="70"/>
      <c r="K1028" s="70"/>
      <c r="L1028" s="11">
        <f>C1028/100*0.1398166</f>
        <v>0.13981660000000001</v>
      </c>
      <c r="M1028" s="3">
        <v>3</v>
      </c>
    </row>
    <row r="1029" spans="2:13">
      <c r="B1029" s="104" t="s">
        <v>796</v>
      </c>
      <c r="C1029" s="4">
        <v>100</v>
      </c>
      <c r="D1029" s="5">
        <f>C1029/100*249</f>
        <v>249</v>
      </c>
      <c r="E1029" s="11">
        <f>C1029/100*4.9</f>
        <v>4.9000000000000004</v>
      </c>
      <c r="F1029" s="11">
        <f>C1029/100*0.5</f>
        <v>0.5</v>
      </c>
      <c r="G1029" s="11">
        <f>C1029/100*56.2</f>
        <v>56.2</v>
      </c>
      <c r="H1029" s="11">
        <f>C1029/100*0</f>
        <v>0</v>
      </c>
      <c r="I1029" s="70">
        <f>C1029/100*4.3</f>
        <v>4.3</v>
      </c>
      <c r="J1029" s="70">
        <f>C1029/100*0.5</f>
        <v>0.5</v>
      </c>
      <c r="K1029" s="70">
        <f>C1029/100*4.8</f>
        <v>4.8</v>
      </c>
      <c r="L1029" s="11">
        <f>C1029/100*0.2542121</f>
        <v>0.2542121</v>
      </c>
      <c r="M1029" s="3">
        <v>1</v>
      </c>
    </row>
    <row r="1030" spans="2:13">
      <c r="B1030" s="104" t="s">
        <v>1061</v>
      </c>
      <c r="C1030" s="4">
        <v>24</v>
      </c>
      <c r="D1030" s="5">
        <f>C1030/100*149/0.24</f>
        <v>149</v>
      </c>
      <c r="E1030" s="11">
        <f>C1030/100*4/0.24</f>
        <v>4</v>
      </c>
      <c r="F1030" s="11">
        <f>C1030/100*6.6/0.24</f>
        <v>6.6</v>
      </c>
      <c r="G1030" s="11">
        <f>C1030/100*18.3/0.24</f>
        <v>18.3</v>
      </c>
      <c r="H1030" s="11">
        <f>C1030/100*0</f>
        <v>0</v>
      </c>
      <c r="I1030" s="70"/>
      <c r="J1030" s="70"/>
      <c r="K1030" s="70"/>
      <c r="L1030" s="11">
        <f>C1030/100*0.3075466/0.24</f>
        <v>0.3075466</v>
      </c>
      <c r="M1030" s="19" t="s">
        <v>751</v>
      </c>
    </row>
    <row r="1031" spans="2:13">
      <c r="B1031" s="104" t="s">
        <v>647</v>
      </c>
      <c r="C1031" s="4">
        <v>80</v>
      </c>
      <c r="D1031" s="5">
        <f>C1031/100*114/0.8</f>
        <v>114</v>
      </c>
      <c r="E1031" s="11">
        <f>C1031/100*4.8/0.8</f>
        <v>4.8</v>
      </c>
      <c r="F1031" s="11">
        <f>C1031/100*4.9/0.8</f>
        <v>4.9000000000000004</v>
      </c>
      <c r="G1031" s="11">
        <f>C1031/100*12.6/0.8</f>
        <v>12.6</v>
      </c>
      <c r="H1031" s="11">
        <f>C1031/100*0</f>
        <v>0</v>
      </c>
      <c r="I1031" s="70"/>
      <c r="J1031" s="70"/>
      <c r="K1031" s="70"/>
      <c r="L1031" s="70"/>
      <c r="M1031" s="19" t="s">
        <v>751</v>
      </c>
    </row>
    <row r="1032" spans="2:13">
      <c r="B1032" s="104" t="s">
        <v>648</v>
      </c>
      <c r="C1032" s="4">
        <v>113</v>
      </c>
      <c r="D1032" s="5">
        <f>C1032/100*262/1.13</f>
        <v>262</v>
      </c>
      <c r="E1032" s="11">
        <f>C1032/100*8.4/1.13</f>
        <v>8.4</v>
      </c>
      <c r="F1032" s="11">
        <f>C1032/100*2.5/1.13</f>
        <v>2.5</v>
      </c>
      <c r="G1032" s="11">
        <f>C1032/100*51.4/1.13</f>
        <v>51.4</v>
      </c>
      <c r="H1032" s="11">
        <f>C1032/100*0</f>
        <v>0</v>
      </c>
      <c r="I1032" s="70"/>
      <c r="J1032" s="70"/>
      <c r="K1032" s="70"/>
      <c r="L1032" s="70"/>
      <c r="M1032" s="19" t="s">
        <v>751</v>
      </c>
    </row>
    <row r="1033" spans="2:13">
      <c r="B1033" s="104" t="s">
        <v>649</v>
      </c>
      <c r="C1033" s="4">
        <v>100</v>
      </c>
      <c r="D1033" s="5">
        <f>C1033/100*703</f>
        <v>703</v>
      </c>
      <c r="E1033" s="11">
        <f>C1033/100*1.5</f>
        <v>1.5</v>
      </c>
      <c r="F1033" s="11">
        <f>C1033/100*75.3</f>
        <v>75.3</v>
      </c>
      <c r="G1033" s="11">
        <f>C1033/100*4.5</f>
        <v>4.5</v>
      </c>
      <c r="H1033" s="11">
        <f>C1033/100*60</f>
        <v>60</v>
      </c>
      <c r="I1033" s="70"/>
      <c r="J1033" s="70"/>
      <c r="K1033" s="70"/>
      <c r="L1033" s="70">
        <f>C1033/100*1.8</f>
        <v>1.8</v>
      </c>
      <c r="M1033" s="3">
        <v>5</v>
      </c>
    </row>
    <row r="1034" spans="2:13">
      <c r="B1034" s="104" t="s">
        <v>650</v>
      </c>
      <c r="C1034" s="4">
        <v>15</v>
      </c>
      <c r="D1034" s="5">
        <f>C1034/100*110/0.15</f>
        <v>110</v>
      </c>
      <c r="E1034" s="11">
        <f>C1034/100*0.21/0.15</f>
        <v>0.21000000000000002</v>
      </c>
      <c r="F1034" s="11">
        <f>C1034/100*11/0.15</f>
        <v>11</v>
      </c>
      <c r="G1034" s="11">
        <f>C1034/100*0.54/0.15</f>
        <v>0.54</v>
      </c>
      <c r="H1034" s="11">
        <f>C1034/100*9/0.15</f>
        <v>9</v>
      </c>
      <c r="I1034" s="70"/>
      <c r="J1034" s="70"/>
      <c r="K1034" s="70"/>
      <c r="L1034" s="11">
        <f>C1034/100*0.2542121/0.15</f>
        <v>0.2542121</v>
      </c>
      <c r="M1034" s="3">
        <v>5</v>
      </c>
    </row>
    <row r="1035" spans="2:13">
      <c r="B1035" s="104" t="s">
        <v>651</v>
      </c>
      <c r="C1035" s="4">
        <v>34</v>
      </c>
      <c r="D1035" s="5">
        <f>C1035/100*165/0.34</f>
        <v>165</v>
      </c>
      <c r="E1035" s="11">
        <f>C1035/100*1.5/0.34</f>
        <v>1.5</v>
      </c>
      <c r="F1035" s="11">
        <f>C1035/100*7.7/0.34</f>
        <v>7.7</v>
      </c>
      <c r="G1035" s="11">
        <f>C1035/100*1.5/0.34</f>
        <v>1.5</v>
      </c>
      <c r="H1035" s="11">
        <f>C1035/100*0</f>
        <v>0</v>
      </c>
      <c r="I1035" s="70"/>
      <c r="J1035" s="70"/>
      <c r="K1035" s="70"/>
      <c r="L1035" s="11">
        <f>C1035/100*0.2542121/0.34</f>
        <v>0.2542121</v>
      </c>
      <c r="M1035" s="19" t="s">
        <v>751</v>
      </c>
    </row>
    <row r="1036" spans="2:13">
      <c r="B1036" s="81" t="s">
        <v>652</v>
      </c>
      <c r="C1036" s="4">
        <v>100</v>
      </c>
      <c r="D1036" s="5">
        <f>C1036/100*281</f>
        <v>281</v>
      </c>
      <c r="E1036" s="11">
        <f>C1036/100*5.9</f>
        <v>5.9</v>
      </c>
      <c r="F1036" s="11">
        <f>C1036/100*5.8</f>
        <v>5.8</v>
      </c>
      <c r="G1036" s="11">
        <f>C1036/100*51.2</f>
        <v>51.2</v>
      </c>
      <c r="H1036" s="11">
        <f>C1036/100*0</f>
        <v>0</v>
      </c>
      <c r="I1036" s="70">
        <f>C1036/100*0.6</f>
        <v>0.6</v>
      </c>
      <c r="J1036" s="70">
        <f>C1036/100*2.1</f>
        <v>2.1</v>
      </c>
      <c r="K1036" s="70">
        <f>C1036/100*2.7</f>
        <v>2.7</v>
      </c>
      <c r="L1036" s="70">
        <f>C1036/100*0</f>
        <v>0</v>
      </c>
      <c r="M1036" s="19" t="s">
        <v>751</v>
      </c>
    </row>
    <row r="1037" spans="2:13">
      <c r="B1037" s="81" t="s">
        <v>653</v>
      </c>
      <c r="C1037" s="4">
        <v>100</v>
      </c>
      <c r="D1037" s="5">
        <f>C1037/100*261</f>
        <v>261</v>
      </c>
      <c r="E1037" s="11">
        <f>C1037/100*4.8</f>
        <v>4.8</v>
      </c>
      <c r="F1037" s="11">
        <f>C1037/100*0.5</f>
        <v>0.5</v>
      </c>
      <c r="G1037" s="11">
        <f>C1037/100*59.2</f>
        <v>59.2</v>
      </c>
      <c r="H1037" s="11">
        <f>C1037/100*0</f>
        <v>0</v>
      </c>
      <c r="I1037" s="70">
        <f>C1037/100*0.3</f>
        <v>0.3</v>
      </c>
      <c r="J1037" s="70">
        <f>C1037/100*2.6</f>
        <v>2.6</v>
      </c>
      <c r="K1037" s="70">
        <f>C1037/100*2.9</f>
        <v>2.9</v>
      </c>
      <c r="L1037" s="70">
        <f>C1037/100*0.2</f>
        <v>0.2</v>
      </c>
      <c r="M1037" s="19" t="s">
        <v>751</v>
      </c>
    </row>
    <row r="1038" spans="2:13">
      <c r="B1038" s="81" t="s">
        <v>653</v>
      </c>
      <c r="C1038" s="4">
        <v>100</v>
      </c>
      <c r="D1038" s="5">
        <f>C1038/100*261</f>
        <v>261</v>
      </c>
      <c r="E1038" s="11">
        <f>C1038/100*4.8</f>
        <v>4.8</v>
      </c>
      <c r="F1038" s="11">
        <f>C1038/100*0.5</f>
        <v>0.5</v>
      </c>
      <c r="G1038" s="11">
        <f>C1038/100*59.2</f>
        <v>59.2</v>
      </c>
      <c r="H1038" s="11">
        <f>C1038/100*0</f>
        <v>0</v>
      </c>
      <c r="I1038" s="70">
        <f>C1038/100*0.3</f>
        <v>0.3</v>
      </c>
      <c r="J1038" s="70">
        <f>C1038/100*2.6</f>
        <v>2.6</v>
      </c>
      <c r="K1038" s="70">
        <f>C1038/100*2.9</f>
        <v>2.9</v>
      </c>
      <c r="L1038" s="70">
        <f>C1038/100*0.2</f>
        <v>0.2</v>
      </c>
      <c r="M1038" s="19" t="s">
        <v>751</v>
      </c>
    </row>
    <row r="1039" spans="2:13">
      <c r="B1039" s="104" t="s">
        <v>654</v>
      </c>
      <c r="C1039" s="4">
        <v>100</v>
      </c>
      <c r="D1039" s="5">
        <f>C1039/100*246</f>
        <v>246</v>
      </c>
      <c r="E1039" s="11">
        <f>C1039/100*20.9</f>
        <v>20.9</v>
      </c>
      <c r="F1039" s="11">
        <f>C1039/100*16.7</f>
        <v>16.7</v>
      </c>
      <c r="G1039" s="11">
        <f>C1039/100*0.2</f>
        <v>0.2</v>
      </c>
      <c r="H1039" s="11">
        <f>C1039/100*230</f>
        <v>230</v>
      </c>
      <c r="I1039" s="70"/>
      <c r="J1039" s="70"/>
      <c r="K1039" s="70"/>
      <c r="L1039" s="70">
        <f>C1039/100*0.4</f>
        <v>0.4</v>
      </c>
      <c r="M1039" s="3">
        <v>3</v>
      </c>
    </row>
    <row r="1040" spans="2:13">
      <c r="B1040" s="81" t="s">
        <v>1272</v>
      </c>
      <c r="C1040" s="4">
        <v>100</v>
      </c>
      <c r="D1040" s="5">
        <f>C1040/100*231</f>
        <v>231</v>
      </c>
      <c r="E1040" s="11">
        <f>C1040/100*19.15</f>
        <v>19.149999999999999</v>
      </c>
      <c r="F1040" s="11">
        <f>C1040/100*15.9</f>
        <v>15.9</v>
      </c>
      <c r="G1040" s="11">
        <f>C1040/100*0.15</f>
        <v>0.15</v>
      </c>
      <c r="H1040" s="11">
        <f>C1040/100*149</f>
        <v>149</v>
      </c>
      <c r="I1040" s="70"/>
      <c r="J1040" s="70"/>
      <c r="K1040" s="70"/>
      <c r="L1040" s="11">
        <f>C1040/100*0.35</f>
        <v>0.35</v>
      </c>
      <c r="M1040" s="3">
        <v>3</v>
      </c>
    </row>
    <row r="1041" spans="2:13">
      <c r="B1041" s="103" t="s">
        <v>655</v>
      </c>
      <c r="C1041" s="4">
        <v>100</v>
      </c>
      <c r="D1041" s="5">
        <f>C1041/100*46</f>
        <v>46</v>
      </c>
      <c r="E1041" s="11">
        <f>C1041/100*0.7</f>
        <v>0.7</v>
      </c>
      <c r="F1041" s="11">
        <f>C1041/100*0.1</f>
        <v>0.1</v>
      </c>
      <c r="G1041" s="11">
        <f>C1041/100*12</f>
        <v>12</v>
      </c>
      <c r="H1041" s="11">
        <f t="shared" ref="H1041:H1073" si="49">C1041/100*0</f>
        <v>0</v>
      </c>
      <c r="I1041" s="70">
        <f>C1041/100*0.5</f>
        <v>0.5</v>
      </c>
      <c r="J1041" s="70">
        <f>C1041/100*0.5</f>
        <v>0.5</v>
      </c>
      <c r="K1041" s="70">
        <f>C1041/100*1</f>
        <v>1</v>
      </c>
      <c r="L1041" s="70">
        <f>C1041/100*0</f>
        <v>0</v>
      </c>
      <c r="M1041" s="3">
        <v>2</v>
      </c>
    </row>
    <row r="1042" spans="2:13">
      <c r="B1042" s="104" t="s">
        <v>656</v>
      </c>
      <c r="C1042" s="4">
        <v>100</v>
      </c>
      <c r="D1042" s="5">
        <f>C1042/100*64</f>
        <v>64</v>
      </c>
      <c r="E1042" s="11">
        <f>C1042/100*0.5</f>
        <v>0.5</v>
      </c>
      <c r="F1042" s="11">
        <f>C1042/100*0.1</f>
        <v>0.1</v>
      </c>
      <c r="G1042" s="11">
        <f>C1042/100*15.3</f>
        <v>15.3</v>
      </c>
      <c r="H1042" s="11">
        <f t="shared" si="49"/>
        <v>0</v>
      </c>
      <c r="I1042" s="70"/>
      <c r="J1042" s="70"/>
      <c r="K1042" s="70">
        <f>C1042/100*0.5</f>
        <v>0.5</v>
      </c>
      <c r="L1042" s="11"/>
      <c r="M1042" s="19" t="s">
        <v>751</v>
      </c>
    </row>
    <row r="1043" spans="2:13">
      <c r="B1043" s="104" t="s">
        <v>853</v>
      </c>
      <c r="C1043" s="4">
        <v>100</v>
      </c>
      <c r="D1043" s="5">
        <f>C1043/100*328</f>
        <v>328</v>
      </c>
      <c r="E1043" s="11">
        <f>C1043/100*0</f>
        <v>0</v>
      </c>
      <c r="F1043" s="11">
        <f>C1043/100*0</f>
        <v>0</v>
      </c>
      <c r="G1043" s="11">
        <f>C1043/100*85</f>
        <v>85</v>
      </c>
      <c r="H1043" s="11">
        <f t="shared" si="49"/>
        <v>0</v>
      </c>
      <c r="I1043" s="70"/>
      <c r="J1043" s="70"/>
      <c r="K1043" s="70">
        <f>C1043/100*0</f>
        <v>0</v>
      </c>
      <c r="L1043" s="11">
        <f>C1043/100*0</f>
        <v>0</v>
      </c>
      <c r="M1043" s="19" t="s">
        <v>750</v>
      </c>
    </row>
    <row r="1044" spans="2:13">
      <c r="B1044" s="81" t="s">
        <v>657</v>
      </c>
      <c r="C1044" s="4">
        <v>100</v>
      </c>
      <c r="D1044" s="5">
        <f>C1044/100*23</f>
        <v>23</v>
      </c>
      <c r="E1044" s="11">
        <f>C1044/100*2.2</f>
        <v>2.2000000000000002</v>
      </c>
      <c r="F1044" s="11">
        <f>C1044/100*0.1</f>
        <v>0.1</v>
      </c>
      <c r="G1044" s="11">
        <f>C1044/100*4.8</f>
        <v>4.8</v>
      </c>
      <c r="H1044" s="11">
        <f t="shared" si="49"/>
        <v>0</v>
      </c>
      <c r="I1044" s="70">
        <f>C1044/100*0.6</f>
        <v>0.6</v>
      </c>
      <c r="J1044" s="70">
        <f>C1044/100*2.4</f>
        <v>2.4</v>
      </c>
      <c r="K1044" s="70">
        <f>C1044/100*3</f>
        <v>3</v>
      </c>
      <c r="L1044" s="70">
        <f>C1044/100*0.1</f>
        <v>0.1</v>
      </c>
      <c r="M1044" s="3">
        <v>6</v>
      </c>
    </row>
    <row r="1045" spans="2:13">
      <c r="B1045" s="81" t="s">
        <v>1260</v>
      </c>
      <c r="C1045" s="4">
        <v>62</v>
      </c>
      <c r="D1045" s="5">
        <f>C1045/100*102/0.62</f>
        <v>102</v>
      </c>
      <c r="E1045" s="11">
        <f>C1045/100*1.9/0.62</f>
        <v>1.9</v>
      </c>
      <c r="F1045" s="11">
        <f>C1045/100*0.2/0.62</f>
        <v>0.2</v>
      </c>
      <c r="G1045" s="11">
        <f>C1045/100*23.2/0.62</f>
        <v>23.2</v>
      </c>
      <c r="H1045" s="11">
        <f t="shared" si="49"/>
        <v>0</v>
      </c>
      <c r="I1045" s="70"/>
      <c r="J1045" s="70"/>
      <c r="K1045" s="70">
        <f>C1045/100*0.2/0.62</f>
        <v>0.2</v>
      </c>
      <c r="L1045" s="11">
        <f>C1045/100*0.043216/0.62</f>
        <v>4.3215999999999997E-2</v>
      </c>
      <c r="M1045" s="19" t="s">
        <v>751</v>
      </c>
    </row>
    <row r="1046" spans="2:13">
      <c r="B1046" s="104" t="s">
        <v>658</v>
      </c>
      <c r="C1046" s="4">
        <v>70</v>
      </c>
      <c r="D1046" s="5">
        <f>C1046/100*166/0.7</f>
        <v>166</v>
      </c>
      <c r="E1046" s="11">
        <f>C1046/100*1.7/0.7</f>
        <v>1.7</v>
      </c>
      <c r="F1046" s="11">
        <f>C1046/100*0.2/0.7</f>
        <v>0.19999999999999998</v>
      </c>
      <c r="G1046" s="11">
        <f>C1046/100*39.4/0.7</f>
        <v>39.4</v>
      </c>
      <c r="H1046" s="11">
        <f t="shared" si="49"/>
        <v>0</v>
      </c>
      <c r="I1046" s="70"/>
      <c r="J1046" s="70"/>
      <c r="K1046" s="70"/>
      <c r="L1046" s="11">
        <f>C1046/100*0.0022879/0.7</f>
        <v>2.2878999999999998E-3</v>
      </c>
      <c r="M1046" s="19" t="s">
        <v>751</v>
      </c>
    </row>
    <row r="1047" spans="2:13">
      <c r="B1047" s="81" t="s">
        <v>659</v>
      </c>
      <c r="C1047" s="4">
        <v>100</v>
      </c>
      <c r="D1047" s="5">
        <f>C1047/100*217</f>
        <v>217</v>
      </c>
      <c r="E1047" s="11">
        <f>C1047/100*9.7</f>
        <v>9.6999999999999993</v>
      </c>
      <c r="F1047" s="11">
        <f>C1047/100*3</f>
        <v>3</v>
      </c>
      <c r="G1047" s="11">
        <f>C1047/100*37.9</f>
        <v>37.9</v>
      </c>
      <c r="H1047" s="11">
        <f t="shared" si="49"/>
        <v>0</v>
      </c>
      <c r="I1047" s="70">
        <f>C1047/100*2.2</f>
        <v>2.2000000000000002</v>
      </c>
      <c r="J1047" s="70">
        <f>C1047/100*4.3</f>
        <v>4.3</v>
      </c>
      <c r="K1047" s="70">
        <f>C1047/100*6.5</f>
        <v>6.5</v>
      </c>
      <c r="L1047" s="70">
        <f>C1047/100*10.9</f>
        <v>10.9</v>
      </c>
      <c r="M1047" s="19" t="s">
        <v>750</v>
      </c>
    </row>
    <row r="1048" spans="2:13">
      <c r="B1048" s="104" t="s">
        <v>660</v>
      </c>
      <c r="C1048" s="4">
        <v>100</v>
      </c>
      <c r="D1048" s="5">
        <f>C1048/100*183</f>
        <v>183</v>
      </c>
      <c r="E1048" s="11">
        <f>C1048/100*12.2</f>
        <v>12.2</v>
      </c>
      <c r="F1048" s="11">
        <f>C1048/100*4.7</f>
        <v>4.7</v>
      </c>
      <c r="G1048" s="11">
        <f>C1048/100*23</f>
        <v>23</v>
      </c>
      <c r="H1048" s="11">
        <f t="shared" si="49"/>
        <v>0</v>
      </c>
      <c r="I1048" s="70"/>
      <c r="J1048" s="70"/>
      <c r="K1048" s="70"/>
      <c r="L1048" s="11">
        <f>C1048/100*12.5</f>
        <v>12.5</v>
      </c>
      <c r="M1048" s="19" t="s">
        <v>750</v>
      </c>
    </row>
    <row r="1049" spans="2:13">
      <c r="B1049" s="104" t="s">
        <v>1038</v>
      </c>
      <c r="C1049" s="4">
        <v>100</v>
      </c>
      <c r="D1049" s="5">
        <f>C1049/100*216</f>
        <v>216</v>
      </c>
      <c r="E1049" s="11">
        <f>C1049/100*8.6</f>
        <v>8.6</v>
      </c>
      <c r="F1049" s="11">
        <f>C1049/100*4.3</f>
        <v>4.3</v>
      </c>
      <c r="G1049" s="11">
        <f>C1049/100*35.6</f>
        <v>35.6</v>
      </c>
      <c r="H1049" s="11">
        <f t="shared" si="49"/>
        <v>0</v>
      </c>
      <c r="I1049" s="70"/>
      <c r="J1049" s="70"/>
      <c r="K1049" s="70"/>
      <c r="L1049" s="11">
        <f>C1049/100*8.8974235</f>
        <v>8.8974235000000004</v>
      </c>
      <c r="M1049" s="19" t="s">
        <v>750</v>
      </c>
    </row>
    <row r="1050" spans="2:13">
      <c r="B1050" s="104" t="s">
        <v>661</v>
      </c>
      <c r="C1050" s="4">
        <v>100</v>
      </c>
      <c r="D1050" s="5">
        <f>C1050/100*195.3</f>
        <v>195.3</v>
      </c>
      <c r="E1050" s="11">
        <f>C1050/100*8.5</f>
        <v>8.5</v>
      </c>
      <c r="F1050" s="11">
        <f>C1050/100*4.5</f>
        <v>4.5</v>
      </c>
      <c r="G1050" s="11">
        <f>C1050/100*30.2</f>
        <v>30.2</v>
      </c>
      <c r="H1050" s="11">
        <f t="shared" si="49"/>
        <v>0</v>
      </c>
      <c r="I1050" s="70"/>
      <c r="J1050" s="70"/>
      <c r="K1050" s="70"/>
      <c r="L1050" s="11">
        <f>C1050/100*11.947968</f>
        <v>11.947967999999999</v>
      </c>
      <c r="M1050" s="19" t="s">
        <v>750</v>
      </c>
    </row>
    <row r="1051" spans="2:13">
      <c r="B1051" s="104" t="s">
        <v>662</v>
      </c>
      <c r="C1051" s="4">
        <v>100</v>
      </c>
      <c r="D1051" s="5">
        <f>C1051/100*185</f>
        <v>185</v>
      </c>
      <c r="E1051" s="11">
        <f>C1051/100*12.3</f>
        <v>12.3</v>
      </c>
      <c r="F1051" s="11">
        <f>C1051/100*5</f>
        <v>5</v>
      </c>
      <c r="G1051" s="11">
        <f>C1051/100*22.7</f>
        <v>22.7</v>
      </c>
      <c r="H1051" s="11">
        <f t="shared" si="49"/>
        <v>0</v>
      </c>
      <c r="I1051" s="70"/>
      <c r="J1051" s="70"/>
      <c r="K1051" s="70"/>
      <c r="L1051" s="11">
        <f>C1051/100*12.710605</f>
        <v>12.710604999999999</v>
      </c>
      <c r="M1051" s="19" t="s">
        <v>750</v>
      </c>
    </row>
    <row r="1052" spans="2:13">
      <c r="B1052" s="104" t="s">
        <v>663</v>
      </c>
      <c r="C1052" s="4">
        <v>100</v>
      </c>
      <c r="D1052" s="5">
        <f>C1052/100*195.3</f>
        <v>195.3</v>
      </c>
      <c r="E1052" s="11">
        <f>C1052/100*8.5</f>
        <v>8.5</v>
      </c>
      <c r="F1052" s="11">
        <f>C1052/100*4.5</f>
        <v>4.5</v>
      </c>
      <c r="G1052" s="11">
        <f>C1052/100*30.2</f>
        <v>30.2</v>
      </c>
      <c r="H1052" s="11">
        <f t="shared" si="49"/>
        <v>0</v>
      </c>
      <c r="I1052" s="70"/>
      <c r="J1052" s="70"/>
      <c r="K1052" s="70"/>
      <c r="L1052" s="11">
        <f>C1052/100*11.947968</f>
        <v>11.947967999999999</v>
      </c>
      <c r="M1052" s="19" t="s">
        <v>750</v>
      </c>
    </row>
    <row r="1053" spans="2:13">
      <c r="B1053" s="104" t="s">
        <v>664</v>
      </c>
      <c r="C1053" s="4">
        <v>100</v>
      </c>
      <c r="D1053" s="5">
        <f>C1053/100*217</f>
        <v>217</v>
      </c>
      <c r="E1053" s="11">
        <f>C1053/100*17.2</f>
        <v>17.2</v>
      </c>
      <c r="F1053" s="11">
        <f>C1053/100*10.5</f>
        <v>10.5</v>
      </c>
      <c r="G1053" s="11">
        <f>C1053/100*14.5</f>
        <v>14.5</v>
      </c>
      <c r="H1053" s="11">
        <f t="shared" si="49"/>
        <v>0</v>
      </c>
      <c r="I1053" s="70">
        <f>C1053/100*2.2</f>
        <v>2.2000000000000002</v>
      </c>
      <c r="J1053" s="70">
        <f>C1053/100*4.3</f>
        <v>4.3</v>
      </c>
      <c r="K1053" s="70">
        <f>C1053/100*6.5</f>
        <v>6.5</v>
      </c>
      <c r="L1053" s="70">
        <f>C1053/100*10.9</f>
        <v>10.9</v>
      </c>
      <c r="M1053" s="19" t="s">
        <v>750</v>
      </c>
    </row>
    <row r="1054" spans="2:13">
      <c r="B1054" s="81" t="s">
        <v>665</v>
      </c>
      <c r="C1054" s="4">
        <v>100</v>
      </c>
      <c r="D1054" s="5">
        <f>C1054/100*217</f>
        <v>217</v>
      </c>
      <c r="E1054" s="11">
        <f>C1054/100*17.2</f>
        <v>17.2</v>
      </c>
      <c r="F1054" s="11">
        <f>C1054/100*10.5</f>
        <v>10.5</v>
      </c>
      <c r="G1054" s="11">
        <f>C1054/100*14.5</f>
        <v>14.5</v>
      </c>
      <c r="H1054" s="11">
        <f t="shared" si="49"/>
        <v>0</v>
      </c>
      <c r="I1054" s="70">
        <f>C1054/100*2.2</f>
        <v>2.2000000000000002</v>
      </c>
      <c r="J1054" s="70">
        <f>C1054/100*4.3</f>
        <v>4.3</v>
      </c>
      <c r="K1054" s="70">
        <f>C1054/100*6.5</f>
        <v>6.5</v>
      </c>
      <c r="L1054" s="70">
        <f>C1054/100*10.9</f>
        <v>10.9</v>
      </c>
      <c r="M1054" s="19" t="s">
        <v>750</v>
      </c>
    </row>
    <row r="1055" spans="2:13">
      <c r="B1055" s="104" t="s">
        <v>666</v>
      </c>
      <c r="C1055" s="4">
        <v>100</v>
      </c>
      <c r="D1055" s="5">
        <f>C1055/100*198</f>
        <v>198</v>
      </c>
      <c r="E1055" s="11">
        <f>C1055/100*9.7</f>
        <v>9.6999999999999993</v>
      </c>
      <c r="F1055" s="11">
        <f>C1055/100*4.3</f>
        <v>4.3</v>
      </c>
      <c r="G1055" s="11">
        <f>C1055/100*30</f>
        <v>30</v>
      </c>
      <c r="H1055" s="11">
        <f t="shared" si="49"/>
        <v>0</v>
      </c>
      <c r="I1055" s="70">
        <f>C1055/100*0.7</f>
        <v>0.7</v>
      </c>
      <c r="J1055" s="70">
        <f>C1055/100*5.6</f>
        <v>5.6</v>
      </c>
      <c r="K1055" s="70">
        <f>C1055/100*6.3</f>
        <v>6.3</v>
      </c>
      <c r="L1055" s="70">
        <f>C1055/100*10.7</f>
        <v>10.7</v>
      </c>
      <c r="M1055" s="19" t="s">
        <v>750</v>
      </c>
    </row>
    <row r="1056" spans="2:13">
      <c r="B1056" s="81" t="s">
        <v>667</v>
      </c>
      <c r="C1056" s="4">
        <v>100</v>
      </c>
      <c r="D1056" s="5">
        <f>C1056/100*195.3</f>
        <v>195.3</v>
      </c>
      <c r="E1056" s="11">
        <f>C1056/100*8.5</f>
        <v>8.5</v>
      </c>
      <c r="F1056" s="11">
        <f>C1056/100*4.5</f>
        <v>4.5</v>
      </c>
      <c r="G1056" s="11">
        <f>C1056/100*30.2</f>
        <v>30.2</v>
      </c>
      <c r="H1056" s="11">
        <f t="shared" si="49"/>
        <v>0</v>
      </c>
      <c r="I1056" s="70"/>
      <c r="J1056" s="70"/>
      <c r="K1056" s="70"/>
      <c r="L1056" s="70">
        <f>C1056/100*12</f>
        <v>12</v>
      </c>
      <c r="M1056" s="19" t="s">
        <v>750</v>
      </c>
    </row>
    <row r="1057" spans="2:13">
      <c r="B1057" s="104" t="s">
        <v>1012</v>
      </c>
      <c r="C1057" s="4">
        <v>100</v>
      </c>
      <c r="D1057" s="5">
        <f>C1057/100*30</f>
        <v>30</v>
      </c>
      <c r="E1057" s="11">
        <f>C1057/100*2.54</f>
        <v>2.54</v>
      </c>
      <c r="F1057" s="11">
        <f>C1057/100*1.22</f>
        <v>1.22</v>
      </c>
      <c r="G1057" s="11">
        <f>C1057/100*2.42</f>
        <v>2.42</v>
      </c>
      <c r="H1057" s="11">
        <f t="shared" si="49"/>
        <v>0</v>
      </c>
      <c r="I1057" s="70"/>
      <c r="J1057" s="70"/>
      <c r="K1057" s="70">
        <f>C1057/100*0.8</f>
        <v>0.8</v>
      </c>
      <c r="L1057" s="11">
        <f>C1057/100*1.04</f>
        <v>1.04</v>
      </c>
      <c r="M1057" s="19" t="s">
        <v>751</v>
      </c>
    </row>
    <row r="1058" spans="2:13">
      <c r="B1058" s="104" t="s">
        <v>668</v>
      </c>
      <c r="C1058" s="4">
        <v>115</v>
      </c>
      <c r="D1058" s="5">
        <f>C1058/100*20/1.15</f>
        <v>20</v>
      </c>
      <c r="E1058" s="11">
        <f>C1058/100*1.64/1.15</f>
        <v>1.64</v>
      </c>
      <c r="F1058" s="11">
        <f>C1058/100*0.48/1.15</f>
        <v>0.48</v>
      </c>
      <c r="G1058" s="11">
        <f>C1058/100*3.19/1.15</f>
        <v>3.19</v>
      </c>
      <c r="H1058" s="11">
        <f t="shared" si="49"/>
        <v>0</v>
      </c>
      <c r="I1058" s="70"/>
      <c r="J1058" s="70"/>
      <c r="K1058" s="70">
        <f>C1058/100*1.09/1.15</f>
        <v>1.0900000000000001</v>
      </c>
      <c r="L1058" s="11">
        <f>C1058/100*1.48/1.15</f>
        <v>1.48</v>
      </c>
      <c r="M1058" s="19" t="s">
        <v>751</v>
      </c>
    </row>
    <row r="1059" spans="2:13">
      <c r="B1059" s="104" t="s">
        <v>669</v>
      </c>
      <c r="C1059" s="4">
        <v>70</v>
      </c>
      <c r="D1059" s="5">
        <f>C1059/100*239/0.7</f>
        <v>239</v>
      </c>
      <c r="E1059" s="11">
        <f>C1059/100*5.1/0.7</f>
        <v>5.0999999999999996</v>
      </c>
      <c r="F1059" s="11">
        <f>C1059/100*1.6/0.7</f>
        <v>1.5999999999999999</v>
      </c>
      <c r="G1059" s="11">
        <f>C1059/100*51/0.7</f>
        <v>51</v>
      </c>
      <c r="H1059" s="11">
        <f t="shared" si="49"/>
        <v>0</v>
      </c>
      <c r="I1059" s="70"/>
      <c r="J1059" s="70"/>
      <c r="K1059" s="70"/>
      <c r="L1059" s="70">
        <f>C1059/100*1.3930823/0.7</f>
        <v>1.3930823000000001</v>
      </c>
      <c r="M1059" s="19" t="s">
        <v>751</v>
      </c>
    </row>
    <row r="1060" spans="2:13">
      <c r="B1060" s="104" t="s">
        <v>670</v>
      </c>
      <c r="C1060" s="4">
        <v>668.6</v>
      </c>
      <c r="D1060" s="5">
        <f>C1060/100*568/6.686</f>
        <v>568</v>
      </c>
      <c r="E1060" s="11">
        <f>C1060/100*22.4/6.686</f>
        <v>22.399999999999995</v>
      </c>
      <c r="F1060" s="11">
        <f>C1060/100*11.83/6.686</f>
        <v>11.830000000000002</v>
      </c>
      <c r="G1060" s="11">
        <f>C1060/100*89.06/6.686</f>
        <v>89.06</v>
      </c>
      <c r="H1060" s="11">
        <f t="shared" si="49"/>
        <v>0</v>
      </c>
      <c r="I1060" s="70"/>
      <c r="J1060" s="70"/>
      <c r="K1060" s="70">
        <f>C1060/100*6.82/6.686</f>
        <v>6.82</v>
      </c>
      <c r="L1060" s="70">
        <f>C1060/100*10.03/6.686</f>
        <v>10.030000000000001</v>
      </c>
      <c r="M1060" s="19" t="s">
        <v>751</v>
      </c>
    </row>
    <row r="1061" spans="2:13">
      <c r="B1061" s="104" t="s">
        <v>671</v>
      </c>
      <c r="C1061" s="4">
        <v>100</v>
      </c>
      <c r="D1061" s="5">
        <f>C1061/100*225</f>
        <v>225</v>
      </c>
      <c r="E1061" s="11">
        <f>C1061/100*12.4</f>
        <v>12.4</v>
      </c>
      <c r="F1061" s="11">
        <f>C1061/100*10.2</f>
        <v>10.199999999999999</v>
      </c>
      <c r="G1061" s="11">
        <f>C1061/100*21</f>
        <v>21</v>
      </c>
      <c r="H1061" s="11">
        <f t="shared" si="49"/>
        <v>0</v>
      </c>
      <c r="I1061" s="70"/>
      <c r="J1061" s="70"/>
      <c r="K1061" s="70">
        <f>C1061/100*3.1</f>
        <v>3.1</v>
      </c>
      <c r="L1061" s="11">
        <f>C1061/100*11.7</f>
        <v>11.7</v>
      </c>
      <c r="M1061" s="19" t="s">
        <v>750</v>
      </c>
    </row>
    <row r="1062" spans="2:13">
      <c r="B1062" s="81" t="s">
        <v>1206</v>
      </c>
      <c r="C1062" s="4">
        <v>100</v>
      </c>
      <c r="D1062" s="5">
        <f>C1062/100*38.28</f>
        <v>38.28</v>
      </c>
      <c r="E1062" s="11">
        <f>C1062/100*2.06</f>
        <v>2.06</v>
      </c>
      <c r="F1062" s="11">
        <f>C1062/100*0.98</f>
        <v>0.98</v>
      </c>
      <c r="G1062" s="11">
        <f>C1062/100*5.34</f>
        <v>5.34</v>
      </c>
      <c r="H1062" s="11">
        <f t="shared" si="49"/>
        <v>0</v>
      </c>
      <c r="I1062" s="70">
        <f>C1062/100*0.31</f>
        <v>0.31</v>
      </c>
      <c r="J1062" s="70">
        <f>C1062/100*0.6</f>
        <v>0.6</v>
      </c>
      <c r="K1062" s="70">
        <f>C1062/100*0.91</f>
        <v>0.91</v>
      </c>
      <c r="L1062" s="11">
        <f>C1062/100*3.33</f>
        <v>3.33</v>
      </c>
      <c r="M1062" s="19" t="s">
        <v>751</v>
      </c>
    </row>
    <row r="1063" spans="2:13">
      <c r="B1063" s="104" t="s">
        <v>672</v>
      </c>
      <c r="C1063" s="4">
        <v>135</v>
      </c>
      <c r="D1063" s="5">
        <f>C1063/100*429/1.35</f>
        <v>429.00000000000006</v>
      </c>
      <c r="E1063" s="11">
        <f>C1063/100*13.5/1.35</f>
        <v>13.5</v>
      </c>
      <c r="F1063" s="11">
        <f>C1063/100*10.1/1.35</f>
        <v>10.1</v>
      </c>
      <c r="G1063" s="11">
        <f>C1063/100*70.3/1.35</f>
        <v>70.3</v>
      </c>
      <c r="H1063" s="11">
        <f t="shared" si="49"/>
        <v>0</v>
      </c>
      <c r="I1063" s="70"/>
      <c r="J1063" s="70"/>
      <c r="K1063" s="70"/>
      <c r="L1063" s="11">
        <f>C1063/100*6.6095146/1.35</f>
        <v>6.6095145999999989</v>
      </c>
      <c r="M1063" s="19" t="s">
        <v>750</v>
      </c>
    </row>
    <row r="1064" spans="2:13">
      <c r="B1064" s="104" t="s">
        <v>673</v>
      </c>
      <c r="C1064" s="4">
        <v>100</v>
      </c>
      <c r="D1064" s="5">
        <f>C1064/100*18</f>
        <v>18</v>
      </c>
      <c r="E1064" s="11">
        <f>C1064/100*1</f>
        <v>1</v>
      </c>
      <c r="F1064" s="11">
        <f>C1064/100*0.1</f>
        <v>0.1</v>
      </c>
      <c r="G1064" s="11">
        <f>C1064/100*4</f>
        <v>4</v>
      </c>
      <c r="H1064" s="11">
        <f t="shared" si="49"/>
        <v>0</v>
      </c>
      <c r="I1064" s="70">
        <f>C1064/100*0.4</f>
        <v>0.4</v>
      </c>
      <c r="J1064" s="70">
        <f>C1064/100*2.1</f>
        <v>2.1</v>
      </c>
      <c r="K1064" s="70">
        <f>C1064/100*2.5</f>
        <v>2.5</v>
      </c>
      <c r="L1064" s="70">
        <f>C1064/100*0</f>
        <v>0</v>
      </c>
      <c r="M1064" s="3">
        <v>6</v>
      </c>
    </row>
    <row r="1065" spans="2:13">
      <c r="B1065" s="104" t="s">
        <v>674</v>
      </c>
      <c r="C1065" s="4">
        <v>100</v>
      </c>
      <c r="D1065" s="5">
        <f>C1065/100*20</f>
        <v>20</v>
      </c>
      <c r="E1065" s="11">
        <f>C1065/100*1.9</f>
        <v>1.9</v>
      </c>
      <c r="F1065" s="11">
        <f>C1065/100*0.1</f>
        <v>0.1</v>
      </c>
      <c r="G1065" s="11">
        <f>C1065/100*4.1</f>
        <v>4.0999999999999996</v>
      </c>
      <c r="H1065" s="11">
        <f t="shared" si="49"/>
        <v>0</v>
      </c>
      <c r="I1065" s="70">
        <f>C1065/100*0.5</f>
        <v>0.5</v>
      </c>
      <c r="J1065" s="70">
        <f>C1065/100*2.4</f>
        <v>2.4</v>
      </c>
      <c r="K1065" s="70">
        <f>C1065/100*2.9</f>
        <v>2.9</v>
      </c>
      <c r="L1065" s="11">
        <f>C1065/100*0</f>
        <v>0</v>
      </c>
      <c r="M1065" s="3">
        <v>6</v>
      </c>
    </row>
    <row r="1066" spans="2:13">
      <c r="B1066" s="81" t="s">
        <v>1114</v>
      </c>
      <c r="C1066" s="4">
        <v>100</v>
      </c>
      <c r="D1066" s="5">
        <f>C1066/100*63</f>
        <v>63</v>
      </c>
      <c r="E1066" s="11">
        <f>C1066/100*11.7</f>
        <v>11.7</v>
      </c>
      <c r="F1066" s="11">
        <f>C1066/100*0.18</f>
        <v>0.18</v>
      </c>
      <c r="G1066" s="11">
        <f>C1066/100*14.48</f>
        <v>14.48</v>
      </c>
      <c r="H1066" s="11">
        <f t="shared" si="49"/>
        <v>0</v>
      </c>
      <c r="I1066" s="70"/>
      <c r="J1066" s="70"/>
      <c r="K1066" s="70">
        <f>C1066/100*1.11</f>
        <v>1.1100000000000001</v>
      </c>
      <c r="L1066" s="11">
        <f>C1066/100*0.0050842</f>
        <v>5.0841999999999997E-3</v>
      </c>
      <c r="M1066" s="19" t="s">
        <v>751</v>
      </c>
    </row>
    <row r="1067" spans="2:13">
      <c r="B1067" s="104" t="s">
        <v>675</v>
      </c>
      <c r="C1067" s="4">
        <v>100</v>
      </c>
      <c r="D1067" s="5">
        <f>C1067/100*12</f>
        <v>12</v>
      </c>
      <c r="E1067" s="11">
        <f>C1067/100*0.9</f>
        <v>0.9</v>
      </c>
      <c r="F1067" s="11">
        <f>C1067/100*0.1</f>
        <v>0.1</v>
      </c>
      <c r="G1067" s="11">
        <f>C1067/100*2.6</f>
        <v>2.6</v>
      </c>
      <c r="H1067" s="11">
        <f t="shared" si="49"/>
        <v>0</v>
      </c>
      <c r="I1067" s="70">
        <f>C1067/100*0.4</f>
        <v>0.4</v>
      </c>
      <c r="J1067" s="70">
        <f>C1067/100*1.7</f>
        <v>1.7</v>
      </c>
      <c r="K1067" s="70">
        <f>C1067/100*2.1</f>
        <v>2.1</v>
      </c>
      <c r="L1067" s="11">
        <f>C1067/100*0</f>
        <v>0</v>
      </c>
      <c r="M1067" s="3">
        <v>6</v>
      </c>
    </row>
    <row r="1068" spans="2:13">
      <c r="B1068" s="104" t="s">
        <v>798</v>
      </c>
      <c r="C1068" s="4">
        <v>100</v>
      </c>
      <c r="D1068" s="5">
        <f>C1068/100*241</f>
        <v>241</v>
      </c>
      <c r="E1068" s="11">
        <f>C1068/100*0.3</f>
        <v>0.3</v>
      </c>
      <c r="F1068" s="11">
        <f>C1068/100*0</f>
        <v>0</v>
      </c>
      <c r="G1068" s="11">
        <f>C1068/100*43.2</f>
        <v>43.2</v>
      </c>
      <c r="H1068" s="11">
        <f t="shared" si="49"/>
        <v>0</v>
      </c>
      <c r="I1068" s="70"/>
      <c r="J1068" s="70"/>
      <c r="K1068" s="70"/>
      <c r="L1068" s="11">
        <f>C1068/100*0.0076263</f>
        <v>7.6262999999999999E-3</v>
      </c>
      <c r="M1068" s="19" t="s">
        <v>750</v>
      </c>
    </row>
    <row r="1069" spans="2:13">
      <c r="B1069" s="104" t="s">
        <v>936</v>
      </c>
      <c r="C1069" s="4">
        <v>15</v>
      </c>
      <c r="D1069" s="5">
        <f>C1069/100*40/0.15</f>
        <v>40</v>
      </c>
      <c r="E1069" s="11">
        <f>C1069/100*0.055/0.15</f>
        <v>5.5000000000000007E-2</v>
      </c>
      <c r="F1069" s="11">
        <f>C1069/100*0/0.15</f>
        <v>0</v>
      </c>
      <c r="G1069" s="11">
        <f>C1069/100*7.5/0.15</f>
        <v>7.5</v>
      </c>
      <c r="H1069" s="11">
        <f t="shared" si="49"/>
        <v>0</v>
      </c>
      <c r="I1069" s="70"/>
      <c r="J1069" s="70"/>
      <c r="K1069" s="70"/>
      <c r="L1069" s="11">
        <f>C1069/100*0.0063553/0.15</f>
        <v>6.3553000000000004E-3</v>
      </c>
      <c r="M1069" s="19" t="s">
        <v>750</v>
      </c>
    </row>
    <row r="1070" spans="2:13">
      <c r="B1070" s="104" t="s">
        <v>676</v>
      </c>
      <c r="C1070" s="4">
        <v>15</v>
      </c>
      <c r="D1070" s="5">
        <f>C1070/100*42/0.15</f>
        <v>42</v>
      </c>
      <c r="E1070" s="11">
        <f>C1070/100*0.055/0.15</f>
        <v>5.5000000000000007E-2</v>
      </c>
      <c r="F1070" s="11">
        <f>C1070/100*0/0.15</f>
        <v>0</v>
      </c>
      <c r="G1070" s="11">
        <f>C1070/100*4.5/0.15</f>
        <v>4.5</v>
      </c>
      <c r="H1070" s="11">
        <f t="shared" si="49"/>
        <v>0</v>
      </c>
      <c r="I1070" s="70"/>
      <c r="J1070" s="70"/>
      <c r="K1070" s="70"/>
      <c r="L1070" s="70">
        <f>C1070/100*0.0063553/0.15</f>
        <v>6.3553000000000004E-3</v>
      </c>
      <c r="M1070" s="19" t="s">
        <v>750</v>
      </c>
    </row>
    <row r="1071" spans="2:13">
      <c r="B1071" s="104" t="s">
        <v>677</v>
      </c>
      <c r="C1071" s="4">
        <v>100</v>
      </c>
      <c r="D1071" s="5">
        <f>C1071/100*241</f>
        <v>241</v>
      </c>
      <c r="E1071" s="11">
        <f>C1071/100*0.3</f>
        <v>0.3</v>
      </c>
      <c r="F1071" s="11">
        <f>C1071/100*0</f>
        <v>0</v>
      </c>
      <c r="G1071" s="11">
        <f>C1071/100*43.2</f>
        <v>43.2</v>
      </c>
      <c r="H1071" s="11">
        <f t="shared" si="49"/>
        <v>0</v>
      </c>
      <c r="I1071" s="70"/>
      <c r="J1071" s="70"/>
      <c r="K1071" s="70"/>
      <c r="L1071" s="70">
        <f>C1071/100*0</f>
        <v>0</v>
      </c>
      <c r="M1071" s="19" t="s">
        <v>750</v>
      </c>
    </row>
    <row r="1072" spans="2:13">
      <c r="B1072" s="104" t="s">
        <v>829</v>
      </c>
      <c r="C1072" s="4">
        <v>100</v>
      </c>
      <c r="D1072" s="5">
        <f>C1072/100*181</f>
        <v>181</v>
      </c>
      <c r="E1072" s="11">
        <f>C1072/100*4</f>
        <v>4</v>
      </c>
      <c r="F1072" s="11">
        <f>C1072/100*1.4</f>
        <v>1.4</v>
      </c>
      <c r="G1072" s="11">
        <f>C1072/100*40.7</f>
        <v>40.700000000000003</v>
      </c>
      <c r="H1072" s="11">
        <f t="shared" si="49"/>
        <v>0</v>
      </c>
      <c r="I1072" s="70"/>
      <c r="J1072" s="70"/>
      <c r="K1072" s="70">
        <f>C1072/100*5.3</f>
        <v>5.3</v>
      </c>
      <c r="L1072" s="11">
        <f>C1072/100*0</f>
        <v>0</v>
      </c>
      <c r="M1072" s="3">
        <v>1</v>
      </c>
    </row>
    <row r="1073" spans="2:13">
      <c r="B1073" s="104" t="s">
        <v>918</v>
      </c>
      <c r="C1073" s="4">
        <v>100</v>
      </c>
      <c r="D1073" s="5">
        <f>C1073/100*149.81</f>
        <v>149.81</v>
      </c>
      <c r="E1073" s="11">
        <f>C1073/100*32.33</f>
        <v>32.33</v>
      </c>
      <c r="F1073" s="11">
        <f>C1073/100*1.45</f>
        <v>1.45</v>
      </c>
      <c r="G1073" s="11">
        <f>C1073/100*0</f>
        <v>0</v>
      </c>
      <c r="H1073" s="11">
        <f t="shared" si="49"/>
        <v>0</v>
      </c>
      <c r="I1073" s="70"/>
      <c r="J1073" s="70"/>
      <c r="K1073" s="70"/>
      <c r="L1073" s="11">
        <f>C1073/100*0.12</f>
        <v>0.12</v>
      </c>
      <c r="M1073" s="3">
        <v>3</v>
      </c>
    </row>
    <row r="1074" spans="2:13">
      <c r="B1074" s="81" t="s">
        <v>1183</v>
      </c>
      <c r="C1074" s="4">
        <v>100</v>
      </c>
      <c r="D1074" s="5">
        <f>C1074/100*95</f>
        <v>95</v>
      </c>
      <c r="E1074" s="11">
        <f>C1074/100*12</f>
        <v>12</v>
      </c>
      <c r="F1074" s="11">
        <f>C1074/100*0.9</f>
        <v>0.9</v>
      </c>
      <c r="G1074" s="11">
        <f>C1074/100*9.7</f>
        <v>9.6999999999999993</v>
      </c>
      <c r="H1074" s="11">
        <f>C1074/100*15</f>
        <v>15</v>
      </c>
      <c r="I1074" s="70"/>
      <c r="J1074" s="70"/>
      <c r="K1074" s="70"/>
      <c r="L1074" s="11">
        <f>C1074/100*2.2</f>
        <v>2.2000000000000002</v>
      </c>
      <c r="M1074" s="3">
        <v>3</v>
      </c>
    </row>
    <row r="1075" spans="2:13">
      <c r="B1075" s="104" t="s">
        <v>678</v>
      </c>
      <c r="C1075" s="4">
        <v>100</v>
      </c>
      <c r="D1075" s="5">
        <f>C1075/100*261</f>
        <v>261</v>
      </c>
      <c r="E1075" s="11">
        <f>C1075/100*4.8</f>
        <v>4.8</v>
      </c>
      <c r="F1075" s="11">
        <f>C1075/100*0.5</f>
        <v>0.5</v>
      </c>
      <c r="G1075" s="11">
        <f>C1075/100*59.2</f>
        <v>59.2</v>
      </c>
      <c r="H1075" s="11">
        <f t="shared" ref="H1075:H1080" si="50">C1075/100*0</f>
        <v>0</v>
      </c>
      <c r="I1075" s="70">
        <f>C1075/100*0.3</f>
        <v>0.3</v>
      </c>
      <c r="J1075" s="70">
        <f>C1075/100*2.6</f>
        <v>2.6</v>
      </c>
      <c r="K1075" s="70">
        <f>C1075/100*2.9</f>
        <v>2.9</v>
      </c>
      <c r="L1075" s="70">
        <f>C1075/100*0.2</f>
        <v>0.2</v>
      </c>
      <c r="M1075" s="19" t="s">
        <v>751</v>
      </c>
    </row>
    <row r="1076" spans="2:13">
      <c r="B1076" s="104" t="s">
        <v>939</v>
      </c>
      <c r="C1076" s="4">
        <v>100</v>
      </c>
      <c r="D1076" s="5">
        <f>C1076/100*487</f>
        <v>487</v>
      </c>
      <c r="E1076" s="11">
        <f>C1076/100*2</f>
        <v>2</v>
      </c>
      <c r="F1076" s="11">
        <f>C1076/100*21.8</f>
        <v>21.8</v>
      </c>
      <c r="G1076" s="11">
        <f>C1076/100*70.6</f>
        <v>70.599999999999994</v>
      </c>
      <c r="H1076" s="11">
        <f t="shared" si="50"/>
        <v>0</v>
      </c>
      <c r="I1076" s="70"/>
      <c r="J1076" s="70"/>
      <c r="K1076" s="70"/>
      <c r="L1076" s="11">
        <f>C1076/100*0.4880872</f>
        <v>0.4880872</v>
      </c>
      <c r="M1076" s="19" t="s">
        <v>751</v>
      </c>
    </row>
    <row r="1077" spans="2:13">
      <c r="B1077" s="104" t="s">
        <v>904</v>
      </c>
      <c r="C1077" s="4">
        <v>100</v>
      </c>
      <c r="D1077" s="5">
        <f>C1077/100*569</f>
        <v>569</v>
      </c>
      <c r="E1077" s="11">
        <f>C1077/100*14.8</f>
        <v>14.8</v>
      </c>
      <c r="F1077" s="11">
        <f>C1077/100*39</f>
        <v>39</v>
      </c>
      <c r="G1077" s="11">
        <f>C1077/100*41.2</f>
        <v>41.2</v>
      </c>
      <c r="H1077" s="11">
        <f t="shared" si="50"/>
        <v>0</v>
      </c>
      <c r="I1077" s="70"/>
      <c r="J1077" s="70"/>
      <c r="K1077" s="70"/>
      <c r="L1077" s="11">
        <f>C1077/100*0.147443</f>
        <v>0.14744299999999999</v>
      </c>
      <c r="M1077" s="19" t="s">
        <v>751</v>
      </c>
    </row>
    <row r="1078" spans="2:13">
      <c r="B1078" s="104" t="s">
        <v>907</v>
      </c>
      <c r="C1078" s="4">
        <v>100</v>
      </c>
      <c r="D1078" s="5">
        <f>C1078/100*632</f>
        <v>632</v>
      </c>
      <c r="E1078" s="11">
        <f>C1078/100*11.8</f>
        <v>11.8</v>
      </c>
      <c r="F1078" s="11">
        <f>C1078/100*51.7</f>
        <v>51.7</v>
      </c>
      <c r="G1078" s="11">
        <f>C1078/100*31.7</f>
        <v>31.7</v>
      </c>
      <c r="H1078" s="11">
        <f t="shared" si="50"/>
        <v>0</v>
      </c>
      <c r="I1078" s="70"/>
      <c r="J1078" s="70"/>
      <c r="K1078" s="70"/>
      <c r="L1078" s="11">
        <f>C1078/100*0.3509506</f>
        <v>0.3509506</v>
      </c>
      <c r="M1078" s="3">
        <v>5</v>
      </c>
    </row>
    <row r="1079" spans="2:13">
      <c r="B1079" s="104" t="s">
        <v>802</v>
      </c>
      <c r="C1079" s="4">
        <v>100</v>
      </c>
      <c r="D1079" s="5">
        <f>C1079/100*681</f>
        <v>681</v>
      </c>
      <c r="E1079" s="11">
        <f>C1079/100*11.4</f>
        <v>11.4</v>
      </c>
      <c r="F1079" s="11">
        <f>C1079/100*60.8</f>
        <v>60.8</v>
      </c>
      <c r="G1079" s="11">
        <f>C1079/100*20.2</f>
        <v>20.2</v>
      </c>
      <c r="H1079" s="11">
        <f t="shared" si="50"/>
        <v>0</v>
      </c>
      <c r="I1079" s="70"/>
      <c r="J1079" s="70"/>
      <c r="K1079" s="70"/>
      <c r="L1079" s="11">
        <f>C1079/100*0.358439</f>
        <v>0.35843900000000001</v>
      </c>
      <c r="M1079" s="19" t="s">
        <v>751</v>
      </c>
    </row>
    <row r="1080" spans="2:13">
      <c r="B1080" s="104" t="s">
        <v>1053</v>
      </c>
      <c r="C1080" s="4">
        <v>100</v>
      </c>
      <c r="D1080" s="5">
        <f>C1080/100*11</f>
        <v>11</v>
      </c>
      <c r="E1080" s="11">
        <f>C1080/100*0.9</f>
        <v>0.9</v>
      </c>
      <c r="F1080" s="11">
        <f>C1080/100*0.6</f>
        <v>0.6</v>
      </c>
      <c r="G1080" s="11">
        <f>C1080/100*3.4</f>
        <v>3.4</v>
      </c>
      <c r="H1080" s="11">
        <f t="shared" si="50"/>
        <v>0</v>
      </c>
      <c r="I1080" s="70"/>
      <c r="J1080" s="70"/>
      <c r="K1080" s="70">
        <f>C1080/100*3.4</f>
        <v>3.4</v>
      </c>
      <c r="L1080" s="11">
        <f>C1080/100*0.4</f>
        <v>0.4</v>
      </c>
      <c r="M1080" s="3">
        <v>6</v>
      </c>
    </row>
    <row r="1081" spans="2:13">
      <c r="B1081" s="104" t="s">
        <v>973</v>
      </c>
      <c r="C1081" s="85">
        <v>100</v>
      </c>
      <c r="D1081" s="5">
        <f>C1081/100*257</f>
        <v>257</v>
      </c>
      <c r="E1081" s="11">
        <f>C1081/100*18.2</f>
        <v>18.2</v>
      </c>
      <c r="F1081" s="11">
        <f>C1081/100*18.9</f>
        <v>18.899999999999999</v>
      </c>
      <c r="G1081" s="11">
        <f>C1081/100*0.5</f>
        <v>0.5</v>
      </c>
      <c r="H1081" s="11">
        <f>C1081/100*100</f>
        <v>100</v>
      </c>
      <c r="I1081" s="70"/>
      <c r="J1081" s="70"/>
      <c r="K1081" s="70"/>
      <c r="L1081" s="11">
        <f>C1081/100*2.8</f>
        <v>2.8</v>
      </c>
      <c r="M1081" s="19" t="s">
        <v>751</v>
      </c>
    </row>
    <row r="1082" spans="2:13">
      <c r="B1082" s="104" t="s">
        <v>899</v>
      </c>
      <c r="C1082" s="4">
        <v>100</v>
      </c>
      <c r="D1082" s="5">
        <f>C1082/100*144</f>
        <v>144</v>
      </c>
      <c r="E1082" s="11">
        <f>C1082/100*2.44</f>
        <v>2.44</v>
      </c>
      <c r="F1082" s="11">
        <f>C1082/100*0.19</f>
        <v>0.19</v>
      </c>
      <c r="G1082" s="11">
        <f>C1082/100*27.24</f>
        <v>27.24</v>
      </c>
      <c r="H1082" s="11">
        <f t="shared" ref="H1082:H1091" si="51">C1082/100*0</f>
        <v>0</v>
      </c>
      <c r="I1082" s="70"/>
      <c r="J1082" s="70"/>
      <c r="K1082" s="70">
        <f>C1082/100*0.38</f>
        <v>0.38</v>
      </c>
      <c r="L1082" s="11">
        <f>C1082/100*1.39898</f>
        <v>1.3989799999999999</v>
      </c>
      <c r="M1082" s="19" t="s">
        <v>751</v>
      </c>
    </row>
    <row r="1083" spans="2:13">
      <c r="B1083" s="104" t="s">
        <v>1066</v>
      </c>
      <c r="C1083" s="4">
        <v>100</v>
      </c>
      <c r="D1083" s="5">
        <f>C1083/100*109</f>
        <v>109</v>
      </c>
      <c r="E1083" s="11">
        <f>C1083/100*18.1</f>
        <v>18.100000000000001</v>
      </c>
      <c r="F1083" s="11">
        <f>C1083/100*3.5</f>
        <v>3.5</v>
      </c>
      <c r="G1083" s="11">
        <f>C1083/100*0</f>
        <v>0</v>
      </c>
      <c r="H1083" s="11">
        <f t="shared" si="51"/>
        <v>0</v>
      </c>
      <c r="I1083" s="70"/>
      <c r="J1083" s="70"/>
      <c r="K1083" s="70"/>
      <c r="L1083" s="11">
        <f>C1083/100*0.190659</f>
        <v>0.190659</v>
      </c>
      <c r="M1083" s="3">
        <v>3</v>
      </c>
    </row>
    <row r="1084" spans="2:13">
      <c r="B1084" s="104" t="s">
        <v>679</v>
      </c>
      <c r="C1084" s="4">
        <v>100</v>
      </c>
      <c r="D1084" s="5">
        <f>C1084/100*42</f>
        <v>42</v>
      </c>
      <c r="E1084" s="11">
        <f>C1084/100*1.1</f>
        <v>1.1000000000000001</v>
      </c>
      <c r="F1084" s="11">
        <f>C1084/100*0.1</f>
        <v>0.1</v>
      </c>
      <c r="G1084" s="11">
        <f>C1084/100*10.3</f>
        <v>10.3</v>
      </c>
      <c r="H1084" s="11">
        <f t="shared" si="51"/>
        <v>0</v>
      </c>
      <c r="I1084" s="70">
        <f>C1084/100*0.2</f>
        <v>0.2</v>
      </c>
      <c r="J1084" s="70">
        <f>C1084/100*0.3</f>
        <v>0.3</v>
      </c>
      <c r="K1084" s="70">
        <f>C1084/100*0.5</f>
        <v>0.5</v>
      </c>
      <c r="L1084" s="70">
        <f>C1084/100*0</f>
        <v>0</v>
      </c>
      <c r="M1084" s="3">
        <v>2</v>
      </c>
    </row>
    <row r="1085" spans="2:13">
      <c r="B1085" s="104" t="s">
        <v>680</v>
      </c>
      <c r="C1085" s="4">
        <v>100</v>
      </c>
      <c r="D1085" s="5">
        <f>C1085/100*42</f>
        <v>42</v>
      </c>
      <c r="E1085" s="11">
        <f>C1085/100*1</f>
        <v>1</v>
      </c>
      <c r="F1085" s="11">
        <f>C1085/100*0.1</f>
        <v>0.1</v>
      </c>
      <c r="G1085" s="11">
        <f>C1085/100*10.4</f>
        <v>10.4</v>
      </c>
      <c r="H1085" s="11">
        <f t="shared" si="51"/>
        <v>0</v>
      </c>
      <c r="I1085" s="70">
        <f>C1085/100*0.2</f>
        <v>0.2</v>
      </c>
      <c r="J1085" s="70">
        <f>C1085/100*0.3</f>
        <v>0.3</v>
      </c>
      <c r="K1085" s="70">
        <f>C1085/100*0.5</f>
        <v>0.5</v>
      </c>
      <c r="L1085" s="70">
        <f>C1085/100*0</f>
        <v>0</v>
      </c>
      <c r="M1085" s="3">
        <v>2</v>
      </c>
    </row>
    <row r="1086" spans="2:13">
      <c r="B1086" s="81" t="s">
        <v>681</v>
      </c>
      <c r="C1086" s="12">
        <v>81.599999999999994</v>
      </c>
      <c r="D1086" s="5">
        <f>C1086/100*276/0.816</f>
        <v>276</v>
      </c>
      <c r="E1086" s="11">
        <f>C1086/100*6.35/0.816</f>
        <v>6.35</v>
      </c>
      <c r="F1086" s="11">
        <f>C1086/100*5.93/0.816</f>
        <v>5.93</v>
      </c>
      <c r="G1086" s="11">
        <f>C1086/100*47.22/0.816</f>
        <v>47.219999999999992</v>
      </c>
      <c r="H1086" s="11">
        <f t="shared" si="51"/>
        <v>0</v>
      </c>
      <c r="I1086" s="70"/>
      <c r="J1086" s="70"/>
      <c r="K1086" s="70">
        <f>C1086/100*1.41/0.816</f>
        <v>1.41</v>
      </c>
      <c r="L1086" s="11">
        <f>C1086/100*0.43/0.816</f>
        <v>0.43</v>
      </c>
      <c r="M1086" s="19" t="s">
        <v>751</v>
      </c>
    </row>
    <row r="1087" spans="2:13">
      <c r="B1087" s="104" t="s">
        <v>682</v>
      </c>
      <c r="C1087" s="4">
        <v>100</v>
      </c>
      <c r="D1087" s="5">
        <f>C1087/100*338</f>
        <v>338</v>
      </c>
      <c r="E1087" s="11">
        <f>C1087/100*7.75</f>
        <v>7.75</v>
      </c>
      <c r="F1087" s="11">
        <f>C1087/100*7.29</f>
        <v>7.29</v>
      </c>
      <c r="G1087" s="11">
        <f>C1087/100*57.87</f>
        <v>57.87</v>
      </c>
      <c r="H1087" s="11">
        <f t="shared" si="51"/>
        <v>0</v>
      </c>
      <c r="I1087" s="70"/>
      <c r="J1087" s="70"/>
      <c r="K1087" s="70">
        <f>C1087/100*1.73</f>
        <v>1.73</v>
      </c>
      <c r="L1087" s="11">
        <f>C1087/100*0.5248208</f>
        <v>0.52482079999999998</v>
      </c>
      <c r="M1087" s="19" t="s">
        <v>751</v>
      </c>
    </row>
    <row r="1088" spans="2:13">
      <c r="B1088" s="104" t="s">
        <v>976</v>
      </c>
      <c r="C1088" s="85">
        <v>100</v>
      </c>
      <c r="D1088" s="5">
        <f>C1088/100*126</f>
        <v>126</v>
      </c>
      <c r="E1088" s="11">
        <f>C1088/100*21</f>
        <v>21</v>
      </c>
      <c r="F1088" s="11">
        <f>C1088/100*3.3</f>
        <v>3.3</v>
      </c>
      <c r="G1088" s="11">
        <f>C1088/100*3</f>
        <v>3</v>
      </c>
      <c r="H1088" s="11">
        <f t="shared" si="51"/>
        <v>0</v>
      </c>
      <c r="I1088" s="70"/>
      <c r="J1088" s="70"/>
      <c r="K1088" s="70"/>
      <c r="L1088" s="11">
        <f>C1088/100*5.5926662</f>
        <v>5.5926662</v>
      </c>
      <c r="M1088" s="19" t="s">
        <v>751</v>
      </c>
    </row>
    <row r="1089" spans="2:13">
      <c r="B1089" s="80" t="s">
        <v>683</v>
      </c>
      <c r="C1089" s="4">
        <v>100</v>
      </c>
      <c r="D1089" s="5">
        <f>C1089/100*196</f>
        <v>196</v>
      </c>
      <c r="E1089" s="11">
        <f>C1089/100*9.9</f>
        <v>9.9</v>
      </c>
      <c r="F1089" s="11">
        <f>C1089/100*7.2</f>
        <v>7.2</v>
      </c>
      <c r="G1089" s="11">
        <f>C1089/100*23</f>
        <v>23</v>
      </c>
      <c r="H1089" s="11">
        <f t="shared" si="51"/>
        <v>0</v>
      </c>
      <c r="I1089" s="70"/>
      <c r="J1089" s="70"/>
      <c r="K1089" s="70"/>
      <c r="L1089" s="11">
        <f>C1089/100*1.1</f>
        <v>1.1000000000000001</v>
      </c>
      <c r="M1089" s="19" t="s">
        <v>750</v>
      </c>
    </row>
    <row r="1090" spans="2:13">
      <c r="B1090" s="104" t="s">
        <v>684</v>
      </c>
      <c r="C1090" s="4">
        <v>200</v>
      </c>
      <c r="D1090" s="5">
        <f>C1090/100*88/2</f>
        <v>88</v>
      </c>
      <c r="E1090" s="11">
        <f>C1090/100*4.4/2</f>
        <v>4.4000000000000004</v>
      </c>
      <c r="F1090" s="11">
        <f>C1090/100*0/2</f>
        <v>0</v>
      </c>
      <c r="G1090" s="11">
        <f>C1090/100*17.4/2</f>
        <v>17.399999999999999</v>
      </c>
      <c r="H1090" s="11">
        <f t="shared" si="51"/>
        <v>0</v>
      </c>
      <c r="I1090" s="70"/>
      <c r="J1090" s="70"/>
      <c r="K1090" s="70"/>
      <c r="L1090" s="11">
        <f>C1090/100*6.6/2</f>
        <v>6.6</v>
      </c>
      <c r="M1090" s="19" t="s">
        <v>750</v>
      </c>
    </row>
    <row r="1091" spans="2:13">
      <c r="B1091" s="104" t="s">
        <v>685</v>
      </c>
      <c r="C1091" s="4">
        <v>100</v>
      </c>
      <c r="D1091" s="5">
        <f>C1091/100*68</f>
        <v>68</v>
      </c>
      <c r="E1091" s="11">
        <f>C1091/100*2.5</f>
        <v>2.5</v>
      </c>
      <c r="F1091" s="11">
        <f>C1091/100*1.3</f>
        <v>1.3</v>
      </c>
      <c r="G1091" s="11">
        <f>C1091/100*13</f>
        <v>13</v>
      </c>
      <c r="H1091" s="11">
        <f t="shared" si="51"/>
        <v>0</v>
      </c>
      <c r="I1091" s="70"/>
      <c r="J1091" s="70"/>
      <c r="K1091" s="70">
        <f>C1091/100*3.8</f>
        <v>3.8</v>
      </c>
      <c r="L1091" s="11">
        <f>C1091/100*3.5589694</f>
        <v>3.5589694000000001</v>
      </c>
      <c r="M1091" s="3"/>
    </row>
    <row r="1092" spans="2:13">
      <c r="B1092" s="104" t="s">
        <v>686</v>
      </c>
      <c r="C1092" s="4">
        <v>100</v>
      </c>
      <c r="D1092" s="5">
        <f>C1092/100*224</f>
        <v>224</v>
      </c>
      <c r="E1092" s="11">
        <f>C1092/100*18.8</f>
        <v>18.8</v>
      </c>
      <c r="F1092" s="11">
        <f>C1092/100*15.3</f>
        <v>15.3</v>
      </c>
      <c r="G1092" s="11">
        <f>C1092/100*0.1</f>
        <v>0.1</v>
      </c>
      <c r="H1092" s="11">
        <f>C1092/100*78</f>
        <v>78</v>
      </c>
      <c r="I1092" s="70"/>
      <c r="J1092" s="70"/>
      <c r="K1092" s="70"/>
      <c r="L1092" s="70">
        <f>C1092/100*0.1</f>
        <v>0.1</v>
      </c>
      <c r="M1092" s="3">
        <v>3</v>
      </c>
    </row>
    <row r="1093" spans="2:13">
      <c r="B1093" s="104" t="s">
        <v>687</v>
      </c>
      <c r="C1093" s="4">
        <v>100</v>
      </c>
      <c r="D1093" s="5">
        <f>C1093/100*236</f>
        <v>236</v>
      </c>
      <c r="E1093" s="11">
        <f>C1093/100*17.9</f>
        <v>17.899999999999999</v>
      </c>
      <c r="F1093" s="11">
        <f>C1093/100*17</f>
        <v>17</v>
      </c>
      <c r="G1093" s="11">
        <f>C1093/100*0.1</f>
        <v>0.1</v>
      </c>
      <c r="H1093" s="11">
        <f>C1093/100*77</f>
        <v>77</v>
      </c>
      <c r="I1093" s="70"/>
      <c r="J1093" s="70"/>
      <c r="K1093" s="70"/>
      <c r="L1093" s="70">
        <f>C1093/100*0.1</f>
        <v>0.1</v>
      </c>
      <c r="M1093" s="3">
        <v>3</v>
      </c>
    </row>
    <row r="1094" spans="2:13">
      <c r="B1094" s="104" t="s">
        <v>688</v>
      </c>
      <c r="C1094" s="4">
        <v>70</v>
      </c>
      <c r="D1094" s="5">
        <f>C1094/100*16.1/0.7</f>
        <v>16.100000000000001</v>
      </c>
      <c r="E1094" s="11">
        <f>C1094/100*0.35/0.7</f>
        <v>0.35</v>
      </c>
      <c r="F1094" s="11">
        <f>C1094/100*0/0.7</f>
        <v>0</v>
      </c>
      <c r="G1094" s="11">
        <f>C1094/100*3.71/0.7</f>
        <v>3.7100000000000004</v>
      </c>
      <c r="H1094" s="11">
        <f t="shared" ref="H1094:H1117" si="52">C1094/100*0</f>
        <v>0</v>
      </c>
      <c r="I1094" s="70"/>
      <c r="J1094" s="70"/>
      <c r="K1094" s="70"/>
      <c r="L1094" s="11"/>
      <c r="M1094" s="3">
        <v>6</v>
      </c>
    </row>
    <row r="1095" spans="2:13">
      <c r="B1095" s="81" t="s">
        <v>689</v>
      </c>
      <c r="C1095" s="4">
        <v>100</v>
      </c>
      <c r="D1095" s="5">
        <f>C1095/100*235</f>
        <v>235</v>
      </c>
      <c r="E1095" s="11">
        <f>C1095/100*4.2</f>
        <v>4.2</v>
      </c>
      <c r="F1095" s="11">
        <f>C1095/100*0.8</f>
        <v>0.8</v>
      </c>
      <c r="G1095" s="11">
        <f>C1095/100*50.3</f>
        <v>50.3</v>
      </c>
      <c r="H1095" s="11">
        <f t="shared" si="52"/>
        <v>0</v>
      </c>
      <c r="I1095" s="70">
        <f>C1095/100*0</f>
        <v>0</v>
      </c>
      <c r="J1095" s="70">
        <f>C1095/100*0.8</f>
        <v>0.8</v>
      </c>
      <c r="K1095" s="70">
        <f>C1095/100*0.8</f>
        <v>0.8</v>
      </c>
      <c r="L1095" s="70">
        <f>C1095/100*0</f>
        <v>0</v>
      </c>
      <c r="M1095" s="3">
        <v>1</v>
      </c>
    </row>
    <row r="1096" spans="2:13">
      <c r="B1096" s="104" t="s">
        <v>987</v>
      </c>
      <c r="C1096" s="4">
        <v>100</v>
      </c>
      <c r="D1096" s="5">
        <f>C1096/100*232</f>
        <v>232</v>
      </c>
      <c r="E1096" s="11">
        <f>C1096/100*4.6</f>
        <v>4.5999999999999996</v>
      </c>
      <c r="F1096" s="11">
        <f>C1096/100*0.6</f>
        <v>0.6</v>
      </c>
      <c r="G1096" s="11">
        <f>C1096/100*52.2</f>
        <v>52.2</v>
      </c>
      <c r="H1096" s="11">
        <f t="shared" si="52"/>
        <v>0</v>
      </c>
      <c r="I1096" s="70"/>
      <c r="J1096" s="70"/>
      <c r="K1096" s="70">
        <f>C1096/100*0.2</f>
        <v>0.2</v>
      </c>
      <c r="L1096" s="11">
        <f>C1096/100*0.0152527</f>
        <v>1.5252699999999999E-2</v>
      </c>
      <c r="M1096" s="19">
        <v>1</v>
      </c>
    </row>
    <row r="1097" spans="2:13">
      <c r="B1097" s="103" t="s">
        <v>690</v>
      </c>
      <c r="C1097" s="4">
        <v>100</v>
      </c>
      <c r="D1097" s="5">
        <f>C1097/100*229</f>
        <v>229</v>
      </c>
      <c r="E1097" s="11">
        <f>C1097/100*4.2</f>
        <v>4.2</v>
      </c>
      <c r="F1097" s="11">
        <f>C1097/100*0.4</f>
        <v>0.4</v>
      </c>
      <c r="G1097" s="11">
        <f>C1097/100*52.1</f>
        <v>52.1</v>
      </c>
      <c r="H1097" s="11">
        <f t="shared" si="52"/>
        <v>0</v>
      </c>
      <c r="I1097" s="70"/>
      <c r="J1097" s="70"/>
      <c r="K1097" s="70">
        <f>C1097/100*2</f>
        <v>2</v>
      </c>
      <c r="L1097" s="70">
        <f>C1097/100*0.043216</f>
        <v>4.3215999999999997E-2</v>
      </c>
      <c r="M1097" s="3">
        <v>1</v>
      </c>
    </row>
    <row r="1098" spans="2:13">
      <c r="B1098" s="103" t="s">
        <v>691</v>
      </c>
      <c r="C1098" s="4">
        <v>100</v>
      </c>
      <c r="D1098" s="5">
        <f>C1098/100*235</f>
        <v>235</v>
      </c>
      <c r="E1098" s="11">
        <f>C1098/100*4.8</f>
        <v>4.8</v>
      </c>
      <c r="F1098" s="11">
        <f>C1098/100*0.5</f>
        <v>0.5</v>
      </c>
      <c r="G1098" s="11">
        <f>C1098/100*52.8</f>
        <v>52.8</v>
      </c>
      <c r="H1098" s="11">
        <f t="shared" si="52"/>
        <v>0</v>
      </c>
      <c r="I1098" s="70">
        <f>C1098/100*0.1</f>
        <v>0.1</v>
      </c>
      <c r="J1098" s="70">
        <f>C1098/100*2.4</f>
        <v>2.4</v>
      </c>
      <c r="K1098" s="70">
        <f>C1098/100*2.5</f>
        <v>2.5</v>
      </c>
      <c r="L1098" s="11">
        <f>C1098/100*0.1</f>
        <v>0.1</v>
      </c>
      <c r="M1098" s="19" t="s">
        <v>751</v>
      </c>
    </row>
    <row r="1099" spans="2:13">
      <c r="B1099" s="104" t="s">
        <v>692</v>
      </c>
      <c r="C1099" s="4">
        <v>100</v>
      </c>
      <c r="D1099" s="5">
        <f>C1099/100*285</f>
        <v>285</v>
      </c>
      <c r="E1099" s="11">
        <f>C1099/100*4.8</f>
        <v>4.8</v>
      </c>
      <c r="F1099" s="11">
        <f>C1099/100*0.4</f>
        <v>0.4</v>
      </c>
      <c r="G1099" s="11">
        <f>C1099/100*65.6</f>
        <v>65.599999999999994</v>
      </c>
      <c r="H1099" s="11">
        <f t="shared" si="52"/>
        <v>0</v>
      </c>
      <c r="I1099" s="70">
        <f>C1099/100*0.1</f>
        <v>0.1</v>
      </c>
      <c r="J1099" s="70">
        <f>C1099/100*3</f>
        <v>3</v>
      </c>
      <c r="K1099" s="70">
        <f>C1099/100*3.1</f>
        <v>3.1</v>
      </c>
      <c r="L1099" s="70">
        <f>C1099/100*0</f>
        <v>0</v>
      </c>
      <c r="M1099" s="19" t="s">
        <v>751</v>
      </c>
    </row>
    <row r="1100" spans="2:13">
      <c r="B1100" s="104" t="s">
        <v>693</v>
      </c>
      <c r="C1100" s="4">
        <v>100</v>
      </c>
      <c r="D1100" s="5">
        <f>C1100/100*294</f>
        <v>294</v>
      </c>
      <c r="E1100" s="11">
        <f>C1100/100*4.5</f>
        <v>4.5</v>
      </c>
      <c r="F1100" s="11">
        <f>C1100/100*0.4</f>
        <v>0.4</v>
      </c>
      <c r="G1100" s="11">
        <f>C1100/100*69.7</f>
        <v>69.7</v>
      </c>
      <c r="H1100" s="11">
        <f t="shared" si="52"/>
        <v>0</v>
      </c>
      <c r="I1100" s="70"/>
      <c r="J1100" s="70"/>
      <c r="K1100" s="70"/>
      <c r="L1100" s="70">
        <f>C1100/100*0.0177356</f>
        <v>1.7735600000000001E-2</v>
      </c>
      <c r="M1100" s="19" t="s">
        <v>751</v>
      </c>
    </row>
    <row r="1101" spans="2:13">
      <c r="B1101" s="104" t="s">
        <v>694</v>
      </c>
      <c r="C1101" s="4">
        <v>100</v>
      </c>
      <c r="D1101" s="5">
        <f>C1101/100*40</f>
        <v>40</v>
      </c>
      <c r="E1101" s="11">
        <f>C1101/100*0.6</f>
        <v>0.6</v>
      </c>
      <c r="F1101" s="11">
        <f>C1101/100*0.1</f>
        <v>0.1</v>
      </c>
      <c r="G1101" s="11">
        <f>C1101/100*10.2</f>
        <v>10.199999999999999</v>
      </c>
      <c r="H1101" s="11">
        <f t="shared" si="52"/>
        <v>0</v>
      </c>
      <c r="I1101" s="70">
        <f>C1101/100*0.6</f>
        <v>0.6</v>
      </c>
      <c r="J1101" s="70">
        <f>C1101/100*0.7</f>
        <v>0.7</v>
      </c>
      <c r="K1101" s="70">
        <f>C1101/100*1.3</f>
        <v>1.3</v>
      </c>
      <c r="L1101" s="70">
        <f>C1101/100*0</f>
        <v>0</v>
      </c>
      <c r="M1101" s="3">
        <v>2</v>
      </c>
    </row>
    <row r="1102" spans="2:13">
      <c r="B1102" s="104" t="s">
        <v>887</v>
      </c>
      <c r="C1102" s="4">
        <v>40</v>
      </c>
      <c r="D1102" s="5">
        <f>C1102/100*118/0.4</f>
        <v>118</v>
      </c>
      <c r="E1102" s="11">
        <f>C1102/100*3.2/0.4</f>
        <v>3.2000000000000006</v>
      </c>
      <c r="F1102" s="11">
        <f>C1102/100*0.3/0.4</f>
        <v>0.3</v>
      </c>
      <c r="G1102" s="11">
        <f>C1102/100*25.6/0.4</f>
        <v>25.600000000000005</v>
      </c>
      <c r="H1102" s="11">
        <f t="shared" si="52"/>
        <v>0</v>
      </c>
      <c r="I1102" s="70"/>
      <c r="J1102" s="70"/>
      <c r="K1102" s="70"/>
      <c r="L1102" s="11">
        <f>C1102/100*0.0033047/0.4</f>
        <v>3.3047000000000003E-3</v>
      </c>
      <c r="M1102" s="19" t="s">
        <v>751</v>
      </c>
    </row>
    <row r="1103" spans="2:13">
      <c r="B1103" s="104" t="s">
        <v>695</v>
      </c>
      <c r="C1103" s="4">
        <v>100</v>
      </c>
      <c r="D1103" s="5">
        <f>C1103/100*15</f>
        <v>15</v>
      </c>
      <c r="E1103" s="11">
        <f>C1103/100*2</f>
        <v>2</v>
      </c>
      <c r="F1103" s="11">
        <f>C1103/100*0</f>
        <v>0</v>
      </c>
      <c r="G1103" s="11">
        <f>C1103/100*2.7</f>
        <v>2.7</v>
      </c>
      <c r="H1103" s="11">
        <f t="shared" si="52"/>
        <v>0</v>
      </c>
      <c r="I1103" s="70"/>
      <c r="J1103" s="70"/>
      <c r="K1103" s="70">
        <f>C1103/100*1.9</f>
        <v>1.9</v>
      </c>
      <c r="L1103" s="11">
        <f>C1103/100*0.0152527</f>
        <v>1.5252699999999999E-2</v>
      </c>
      <c r="M1103" s="3">
        <v>6</v>
      </c>
    </row>
    <row r="1104" spans="2:13">
      <c r="B1104" s="81" t="s">
        <v>696</v>
      </c>
      <c r="C1104" s="4">
        <v>100</v>
      </c>
      <c r="D1104" s="5">
        <f>C1104/100*37</f>
        <v>37</v>
      </c>
      <c r="E1104" s="11">
        <f>C1104/100*3.7</f>
        <v>3.7</v>
      </c>
      <c r="F1104" s="11">
        <f>C1104/100*1.5</f>
        <v>1.5</v>
      </c>
      <c r="G1104" s="11">
        <f>C1104/100*2.3</f>
        <v>2.2999999999999998</v>
      </c>
      <c r="H1104" s="11">
        <f t="shared" si="52"/>
        <v>0</v>
      </c>
      <c r="I1104" s="70">
        <f>C1104/100*0.2</f>
        <v>0.2</v>
      </c>
      <c r="J1104" s="70">
        <f>C1104/100*2.1</f>
        <v>2.1</v>
      </c>
      <c r="K1104" s="70">
        <f>C1104/100*2.3</f>
        <v>2.2999999999999998</v>
      </c>
      <c r="L1104" s="70">
        <f>C1104/100*0</f>
        <v>0</v>
      </c>
      <c r="M1104" s="3">
        <v>6</v>
      </c>
    </row>
    <row r="1105" spans="2:13">
      <c r="B1105" s="81" t="s">
        <v>697</v>
      </c>
      <c r="C1105" s="4">
        <v>100</v>
      </c>
      <c r="D1105" s="5">
        <f>C1105/100*34</f>
        <v>34</v>
      </c>
      <c r="E1105" s="11">
        <f>C1105/100*2.9</f>
        <v>2.9</v>
      </c>
      <c r="F1105" s="11">
        <f>C1105/100*1.6</f>
        <v>1.6</v>
      </c>
      <c r="G1105" s="11">
        <f>C1105/100*2.2</f>
        <v>2.2000000000000002</v>
      </c>
      <c r="H1105" s="11">
        <f t="shared" si="52"/>
        <v>0</v>
      </c>
      <c r="I1105" s="70">
        <f>C1105/100*0.3</f>
        <v>0.3</v>
      </c>
      <c r="J1105" s="70">
        <f>C1105/100*1.9</f>
        <v>1.9</v>
      </c>
      <c r="K1105" s="70">
        <f>C1105/100*2.2</f>
        <v>2.2000000000000002</v>
      </c>
      <c r="L1105" s="70">
        <f>C1105/100*0</f>
        <v>0</v>
      </c>
      <c r="M1105" s="3">
        <v>6</v>
      </c>
    </row>
    <row r="1106" spans="2:13">
      <c r="B1106" s="81" t="s">
        <v>1102</v>
      </c>
      <c r="C1106" s="4">
        <v>100</v>
      </c>
      <c r="D1106" s="5">
        <f>C1106/100*15</f>
        <v>15</v>
      </c>
      <c r="E1106" s="11">
        <f>C1106/100*2</f>
        <v>2</v>
      </c>
      <c r="F1106" s="11">
        <f>C1106/100*0</f>
        <v>0</v>
      </c>
      <c r="G1106" s="11">
        <f>C1106/100*2.7</f>
        <v>2.7</v>
      </c>
      <c r="H1106" s="11">
        <f t="shared" si="52"/>
        <v>0</v>
      </c>
      <c r="I1106" s="70"/>
      <c r="J1106" s="70"/>
      <c r="K1106" s="70">
        <f>C1106/100*1.9</f>
        <v>1.9</v>
      </c>
      <c r="L1106" s="11">
        <f>C1106/100*0.0152527</f>
        <v>1.5252699999999999E-2</v>
      </c>
      <c r="M1106" s="3">
        <v>6</v>
      </c>
    </row>
    <row r="1107" spans="2:13">
      <c r="B1107" s="104" t="s">
        <v>909</v>
      </c>
      <c r="C1107" s="4">
        <v>100</v>
      </c>
      <c r="D1107" s="5">
        <f>C1107/100*14</f>
        <v>14</v>
      </c>
      <c r="E1107" s="11">
        <f>C1107/100*1.7</f>
        <v>1.7</v>
      </c>
      <c r="F1107" s="11">
        <f>C1107/100*0.1</f>
        <v>0.1</v>
      </c>
      <c r="G1107" s="11">
        <f>C1107/100*2.6</f>
        <v>2.6</v>
      </c>
      <c r="H1107" s="11">
        <f t="shared" si="52"/>
        <v>0</v>
      </c>
      <c r="I1107" s="70">
        <f>C1107/100*0.1</f>
        <v>0.1</v>
      </c>
      <c r="J1107" s="70">
        <f>C1107/100*1.2</f>
        <v>1.2</v>
      </c>
      <c r="K1107" s="70">
        <f>C1107/100*1.3</f>
        <v>1.3</v>
      </c>
      <c r="L1107" s="11">
        <f>C1107/100*0.0050842</f>
        <v>5.0841999999999997E-3</v>
      </c>
      <c r="M1107" s="3">
        <v>6</v>
      </c>
    </row>
    <row r="1108" spans="2:13">
      <c r="B1108" s="104" t="s">
        <v>910</v>
      </c>
      <c r="C1108" s="4">
        <v>100</v>
      </c>
      <c r="D1108" s="5">
        <f>C1108/100*18</f>
        <v>18</v>
      </c>
      <c r="E1108" s="11">
        <f>C1108/100*1.8</f>
        <v>1.8</v>
      </c>
      <c r="F1108" s="11">
        <f>C1108/100*0.1</f>
        <v>0.1</v>
      </c>
      <c r="G1108" s="11">
        <f>C1108/100*2.5</f>
        <v>2.5</v>
      </c>
      <c r="H1108" s="11">
        <f t="shared" si="52"/>
        <v>0</v>
      </c>
      <c r="I1108" s="70">
        <f>C1108/100*0.1</f>
        <v>0.1</v>
      </c>
      <c r="J1108" s="70">
        <f>C1108/100*1.2</f>
        <v>1.2</v>
      </c>
      <c r="K1108" s="70">
        <f>C1108/100*1.3</f>
        <v>1.3</v>
      </c>
      <c r="L1108" s="11">
        <f>C1108/100*0.0152527</f>
        <v>1.5252699999999999E-2</v>
      </c>
      <c r="M1108" s="3">
        <v>6</v>
      </c>
    </row>
    <row r="1109" spans="2:13">
      <c r="B1109" s="104" t="s">
        <v>698</v>
      </c>
      <c r="C1109" s="4">
        <v>118.6</v>
      </c>
      <c r="D1109" s="5">
        <f>C1109/100*425/1.186</f>
        <v>425</v>
      </c>
      <c r="E1109" s="11">
        <f>C1109/100*2.54/1.186</f>
        <v>2.54</v>
      </c>
      <c r="F1109" s="11">
        <f>C1109/100*22.12/1.186</f>
        <v>22.12</v>
      </c>
      <c r="G1109" s="11">
        <f>C1109/100*51.28/1.186</f>
        <v>51.28</v>
      </c>
      <c r="H1109" s="11">
        <f t="shared" si="52"/>
        <v>0</v>
      </c>
      <c r="I1109" s="70"/>
      <c r="J1109" s="70"/>
      <c r="K1109" s="70">
        <f>C1109/100*1.76/1.186</f>
        <v>1.76</v>
      </c>
      <c r="L1109" s="11">
        <f>C1109/100*0.04/1.186</f>
        <v>0.04</v>
      </c>
      <c r="M1109" s="19" t="s">
        <v>751</v>
      </c>
    </row>
    <row r="1110" spans="2:13">
      <c r="B1110" s="104" t="s">
        <v>954</v>
      </c>
      <c r="C1110" s="4">
        <v>100</v>
      </c>
      <c r="D1110" s="5">
        <f>C1110/100*94</f>
        <v>94</v>
      </c>
      <c r="E1110" s="11">
        <f>C1110/100*15.56</f>
        <v>15.56</v>
      </c>
      <c r="F1110" s="11">
        <f>C1110/100*0.97</f>
        <v>0.97</v>
      </c>
      <c r="G1110" s="11">
        <f>C1110/100*3.96</f>
        <v>3.96</v>
      </c>
      <c r="H1110" s="11">
        <f t="shared" si="52"/>
        <v>0</v>
      </c>
      <c r="I1110" s="70"/>
      <c r="J1110" s="70"/>
      <c r="K1110" s="70"/>
      <c r="L1110" s="11">
        <f>C1110/100*2.3055257</f>
        <v>2.3055257</v>
      </c>
      <c r="M1110" s="3">
        <v>3</v>
      </c>
    </row>
    <row r="1111" spans="2:13">
      <c r="B1111" s="104" t="s">
        <v>699</v>
      </c>
      <c r="C1111" s="4">
        <v>110</v>
      </c>
      <c r="D1111" s="5">
        <f>C1111/100*501.6/1.1</f>
        <v>501.60000000000008</v>
      </c>
      <c r="E1111" s="11">
        <f>C1111/100*15.1/1.1</f>
        <v>15.099999999999998</v>
      </c>
      <c r="F1111" s="11">
        <f>C1111/100*15.8/1.1</f>
        <v>15.8</v>
      </c>
      <c r="G1111" s="11">
        <f>C1111/100*74.7/1.1</f>
        <v>74.7</v>
      </c>
      <c r="H1111" s="11">
        <f t="shared" si="52"/>
        <v>0</v>
      </c>
      <c r="I1111" s="70"/>
      <c r="J1111" s="70"/>
      <c r="K1111" s="70"/>
      <c r="L1111" s="11"/>
      <c r="M1111" s="19" t="s">
        <v>751</v>
      </c>
    </row>
    <row r="1112" spans="2:13">
      <c r="B1112" s="80" t="s">
        <v>700</v>
      </c>
      <c r="C1112" s="4">
        <v>100</v>
      </c>
      <c r="D1112" s="5">
        <f>C1112/100*167</f>
        <v>167</v>
      </c>
      <c r="E1112" s="11">
        <f>C1112/100*5.44</f>
        <v>5.44</v>
      </c>
      <c r="F1112" s="11">
        <f>C1112/100*4.8</f>
        <v>4.8</v>
      </c>
      <c r="G1112" s="11">
        <f>C1112/100*24.19</f>
        <v>24.19</v>
      </c>
      <c r="H1112" s="11">
        <f t="shared" si="52"/>
        <v>0</v>
      </c>
      <c r="I1112" s="70"/>
      <c r="J1112" s="70"/>
      <c r="K1112" s="70">
        <f>C1112/100*1.56</f>
        <v>1.56</v>
      </c>
      <c r="L1112" s="11">
        <f>C1112/100*1.24</f>
        <v>1.24</v>
      </c>
      <c r="M1112" s="3"/>
    </row>
    <row r="1113" spans="2:13">
      <c r="B1113" s="104" t="s">
        <v>701</v>
      </c>
      <c r="C1113" s="4">
        <v>160</v>
      </c>
      <c r="D1113" s="5">
        <f>C1113/100*281/1.6</f>
        <v>281</v>
      </c>
      <c r="E1113" s="11">
        <f>C1113/100*7.7/1.6</f>
        <v>7.7</v>
      </c>
      <c r="F1113" s="11">
        <f>C1113/100*3.7/1.6</f>
        <v>3.7</v>
      </c>
      <c r="G1113" s="11">
        <f>C1113/100*54.2/1.6</f>
        <v>54.2</v>
      </c>
      <c r="H1113" s="11">
        <f t="shared" si="52"/>
        <v>0</v>
      </c>
      <c r="I1113" s="70"/>
      <c r="J1113" s="70"/>
      <c r="K1113" s="70"/>
      <c r="L1113" s="11">
        <f>C1113/100*3.8131815/1.6</f>
        <v>3.8131815000000002</v>
      </c>
      <c r="M1113" s="3"/>
    </row>
    <row r="1114" spans="2:13">
      <c r="B1114" s="104" t="s">
        <v>1046</v>
      </c>
      <c r="C1114" s="4">
        <v>100</v>
      </c>
      <c r="D1114" s="5">
        <f>C1114/100*88</f>
        <v>88</v>
      </c>
      <c r="E1114" s="11">
        <f>C1114/100*7.8</f>
        <v>7.8</v>
      </c>
      <c r="F1114" s="11">
        <f>C1114/100*5.7</f>
        <v>5.7</v>
      </c>
      <c r="G1114" s="11">
        <f>C1114/100*1</f>
        <v>1</v>
      </c>
      <c r="H1114" s="11">
        <f t="shared" si="52"/>
        <v>0</v>
      </c>
      <c r="I1114" s="70"/>
      <c r="J1114" s="70"/>
      <c r="K1114" s="70">
        <f>C1114/100*0.5</f>
        <v>0.5</v>
      </c>
      <c r="L1114" s="11">
        <f>C1114/100*0.0101684</f>
        <v>1.0168399999999999E-2</v>
      </c>
      <c r="M1114" s="3">
        <v>3</v>
      </c>
    </row>
    <row r="1115" spans="2:13">
      <c r="B1115" s="104" t="s">
        <v>702</v>
      </c>
      <c r="C1115" s="4">
        <v>100</v>
      </c>
      <c r="D1115" s="5">
        <f>C1115/100*32/0.17</f>
        <v>188.23529411764704</v>
      </c>
      <c r="E1115" s="11">
        <f>C1115/100*0.69/0.17</f>
        <v>4.0588235294117645</v>
      </c>
      <c r="F1115" s="11">
        <f>C1115/100*1.79/0.17</f>
        <v>10.529411764705882</v>
      </c>
      <c r="G1115" s="11">
        <f>C1115/100*2.95/0.17</f>
        <v>17.352941176470587</v>
      </c>
      <c r="H1115" s="11">
        <f t="shared" si="52"/>
        <v>0</v>
      </c>
      <c r="I1115" s="70"/>
      <c r="J1115" s="70"/>
      <c r="K1115" s="70">
        <f>C1115/100*0.15/0.17</f>
        <v>0.88235294117647045</v>
      </c>
      <c r="L1115" s="11">
        <f>C1115/100*1.16/0.17</f>
        <v>6.8235294117647047</v>
      </c>
      <c r="M1115" s="19" t="s">
        <v>750</v>
      </c>
    </row>
    <row r="1116" spans="2:13">
      <c r="B1116" s="104" t="s">
        <v>703</v>
      </c>
      <c r="C1116" s="4">
        <v>100</v>
      </c>
      <c r="D1116" s="5">
        <f>C1116/100*188</f>
        <v>188</v>
      </c>
      <c r="E1116" s="11">
        <f>C1116/100*41.4</f>
        <v>41.4</v>
      </c>
      <c r="F1116" s="11">
        <f>C1116/100*3.7</f>
        <v>3.7</v>
      </c>
      <c r="G1116" s="11">
        <f>C1116/100*44.3</f>
        <v>44.3</v>
      </c>
      <c r="H1116" s="11">
        <f t="shared" si="52"/>
        <v>0</v>
      </c>
      <c r="I1116" s="70"/>
      <c r="J1116" s="70"/>
      <c r="K1116" s="70">
        <f>C1116/100*36</f>
        <v>36</v>
      </c>
      <c r="L1116" s="11">
        <f>C1116/100*1.3</f>
        <v>1.3</v>
      </c>
      <c r="M1116" s="3">
        <v>6</v>
      </c>
    </row>
    <row r="1117" spans="2:13">
      <c r="B1117" s="104" t="s">
        <v>704</v>
      </c>
      <c r="C1117" s="4">
        <v>2.7</v>
      </c>
      <c r="D1117" s="5">
        <f>C1117/100*5.1/0.027</f>
        <v>5.1000000000000005</v>
      </c>
      <c r="E1117" s="11">
        <f>C1117/100*1.1/0.027</f>
        <v>1.1000000000000001</v>
      </c>
      <c r="F1117" s="11">
        <f>C1117/100*0.1/0.027</f>
        <v>0.10000000000000002</v>
      </c>
      <c r="G1117" s="11">
        <f>C1117/100*1.2/0.027</f>
        <v>1.2000000000000002</v>
      </c>
      <c r="H1117" s="11">
        <f t="shared" si="52"/>
        <v>0</v>
      </c>
      <c r="I1117" s="70"/>
      <c r="J1117" s="70"/>
      <c r="K1117" s="70"/>
      <c r="L1117" s="11"/>
      <c r="M1117" s="3">
        <v>6</v>
      </c>
    </row>
    <row r="1118" spans="2:13">
      <c r="B1118" s="104" t="s">
        <v>705</v>
      </c>
      <c r="C1118" s="4">
        <v>100</v>
      </c>
      <c r="D1118" s="5">
        <f>C1118/100*119</f>
        <v>119</v>
      </c>
      <c r="E1118" s="11">
        <f>C1118/100*18.4</f>
        <v>18.399999999999999</v>
      </c>
      <c r="F1118" s="11">
        <f>C1118/100*4.3</f>
        <v>4.3</v>
      </c>
      <c r="G1118" s="11">
        <f>C1118/100*0.3</f>
        <v>0.3</v>
      </c>
      <c r="H1118" s="11">
        <f>C1118/100*65</f>
        <v>65</v>
      </c>
      <c r="I1118" s="70"/>
      <c r="J1118" s="70"/>
      <c r="K1118" s="70"/>
      <c r="L1118" s="70">
        <f>C1118/100*0.1</f>
        <v>0.1</v>
      </c>
      <c r="M1118" s="3">
        <v>3</v>
      </c>
    </row>
    <row r="1119" spans="2:13">
      <c r="B1119" s="103" t="s">
        <v>706</v>
      </c>
      <c r="C1119" s="4">
        <v>100</v>
      </c>
      <c r="D1119" s="5">
        <f>C1119/100*85</f>
        <v>85</v>
      </c>
      <c r="E1119" s="11">
        <f>C1119/100*17.6</f>
        <v>17.600000000000001</v>
      </c>
      <c r="F1119" s="11">
        <f>C1119/100*1</f>
        <v>1</v>
      </c>
      <c r="G1119" s="11">
        <f>C1119/100*0.4</f>
        <v>0.4</v>
      </c>
      <c r="H1119" s="11">
        <f>C1119/100*320</f>
        <v>320</v>
      </c>
      <c r="I1119" s="70"/>
      <c r="J1119" s="70"/>
      <c r="K1119" s="70"/>
      <c r="L1119" s="11">
        <f>C1119/100*0.4</f>
        <v>0.4</v>
      </c>
      <c r="M1119" s="3">
        <v>3</v>
      </c>
    </row>
    <row r="1120" spans="2:13">
      <c r="B1120" s="81" t="s">
        <v>1130</v>
      </c>
      <c r="C1120" s="4">
        <v>80</v>
      </c>
      <c r="D1120" s="5">
        <f>C1120/100*62.4/0.8</f>
        <v>62.4</v>
      </c>
      <c r="E1120" s="11">
        <f>C1120/100*0/0.8</f>
        <v>0</v>
      </c>
      <c r="F1120" s="11">
        <f>C1120/100*0/0.8</f>
        <v>0</v>
      </c>
      <c r="G1120" s="11">
        <f>C1120/100*14.7/0.8</f>
        <v>14.7</v>
      </c>
      <c r="H1120" s="11">
        <f t="shared" ref="H1120:H1134" si="53">C1120/100*0</f>
        <v>0</v>
      </c>
      <c r="I1120" s="70"/>
      <c r="J1120" s="70"/>
      <c r="K1120" s="70"/>
      <c r="L1120" s="11"/>
      <c r="M1120" s="19" t="s">
        <v>751</v>
      </c>
    </row>
    <row r="1121" spans="2:13">
      <c r="B1121" s="81" t="s">
        <v>1077</v>
      </c>
      <c r="C1121" s="4">
        <v>15</v>
      </c>
      <c r="D1121" s="5">
        <f>C1121/100*8/0.15</f>
        <v>8</v>
      </c>
      <c r="E1121" s="11">
        <f>C1121/100*0.5/0.15</f>
        <v>0.5</v>
      </c>
      <c r="F1121" s="11">
        <f>C1121/100*0/0.15</f>
        <v>0</v>
      </c>
      <c r="G1121" s="11">
        <f>C1121/100*1.4/0.15</f>
        <v>1.4</v>
      </c>
      <c r="H1121" s="11">
        <f t="shared" si="53"/>
        <v>0</v>
      </c>
      <c r="I1121" s="70"/>
      <c r="J1121" s="70"/>
      <c r="K1121" s="70"/>
      <c r="L1121" s="11">
        <f>C1121/100*0.98885/0.15</f>
        <v>0.98885000000000001</v>
      </c>
      <c r="M1121" s="19" t="s">
        <v>750</v>
      </c>
    </row>
    <row r="1122" spans="2:13">
      <c r="B1122" s="104" t="s">
        <v>707</v>
      </c>
      <c r="C1122" s="4">
        <v>100</v>
      </c>
      <c r="D1122" s="5">
        <f>C1122/100*190</f>
        <v>190</v>
      </c>
      <c r="E1122" s="11">
        <f>C1122/100*4.9</f>
        <v>4.9000000000000004</v>
      </c>
      <c r="F1122" s="11">
        <f>C1122/100*0.3</f>
        <v>0.3</v>
      </c>
      <c r="G1122" s="11">
        <f>C1122/100*42.3</f>
        <v>42.3</v>
      </c>
      <c r="H1122" s="11">
        <f t="shared" si="53"/>
        <v>0</v>
      </c>
      <c r="I1122" s="70"/>
      <c r="J1122" s="70"/>
      <c r="K1122" s="70">
        <f>C1122/100*2.8</f>
        <v>2.8</v>
      </c>
      <c r="L1122" s="11">
        <f>C1122/100*0.0889742</f>
        <v>8.8974200000000003E-2</v>
      </c>
      <c r="M1122" s="19" t="s">
        <v>751</v>
      </c>
    </row>
    <row r="1123" spans="2:13">
      <c r="B1123" s="104" t="s">
        <v>1033</v>
      </c>
      <c r="C1123" s="4">
        <v>165</v>
      </c>
      <c r="D1123" s="5">
        <f>C1123/100*382/1.65</f>
        <v>382</v>
      </c>
      <c r="E1123" s="11">
        <f>C1123/100*7.8/1.65</f>
        <v>7.8</v>
      </c>
      <c r="F1123" s="11">
        <f>C1123/100*0.3/1.65</f>
        <v>0.3</v>
      </c>
      <c r="G1123" s="11">
        <f>C1123/100*87.1/1.65</f>
        <v>87.1</v>
      </c>
      <c r="H1123" s="11">
        <f t="shared" si="53"/>
        <v>0</v>
      </c>
      <c r="I1123" s="70"/>
      <c r="J1123" s="70"/>
      <c r="K1123" s="70">
        <f>C1123/100*0.15/1.65</f>
        <v>0.15</v>
      </c>
      <c r="L1123" s="11">
        <f>C1123/100*0.2186224/1.65</f>
        <v>0.21862239999999999</v>
      </c>
      <c r="M1123" s="3">
        <v>3</v>
      </c>
    </row>
    <row r="1124" spans="2:13">
      <c r="B1124" s="104" t="s">
        <v>1036</v>
      </c>
      <c r="C1124" s="4">
        <v>165</v>
      </c>
      <c r="D1124" s="5">
        <f>C1124/100*382/1.65</f>
        <v>382</v>
      </c>
      <c r="E1124" s="11">
        <f>C1124/100*7.8/1.65</f>
        <v>7.8</v>
      </c>
      <c r="F1124" s="11">
        <f>C1124/100*0.3/1.65</f>
        <v>0.3</v>
      </c>
      <c r="G1124" s="11">
        <f>C1124/100*87.1/1.65</f>
        <v>87.1</v>
      </c>
      <c r="H1124" s="11">
        <f t="shared" si="53"/>
        <v>0</v>
      </c>
      <c r="I1124" s="70"/>
      <c r="J1124" s="70"/>
      <c r="K1124" s="70">
        <f>C1124/100*0.15/1.65</f>
        <v>0.15</v>
      </c>
      <c r="L1124" s="11">
        <f>C1124/100*0.22186224/1.65</f>
        <v>0.22186223999999999</v>
      </c>
      <c r="M1124" s="19" t="s">
        <v>751</v>
      </c>
    </row>
    <row r="1125" spans="2:13">
      <c r="B1125" s="110" t="s">
        <v>708</v>
      </c>
      <c r="C1125" s="4">
        <v>190</v>
      </c>
      <c r="D1125" s="5">
        <f>C1125/100*427/1.9</f>
        <v>427</v>
      </c>
      <c r="E1125" s="11">
        <f>C1125/100*7.4/1.9</f>
        <v>7.4</v>
      </c>
      <c r="F1125" s="11">
        <f>C1125/100*0.6/1.9</f>
        <v>0.6</v>
      </c>
      <c r="G1125" s="11">
        <f>C1125/100*98/1.9</f>
        <v>98</v>
      </c>
      <c r="H1125" s="11">
        <f t="shared" si="53"/>
        <v>0</v>
      </c>
      <c r="I1125" s="70"/>
      <c r="J1125" s="70"/>
      <c r="K1125" s="70"/>
      <c r="L1125" s="11">
        <f>C1125/100*0.1982854/1.9</f>
        <v>0.1982854</v>
      </c>
      <c r="M1125" s="19" t="s">
        <v>751</v>
      </c>
    </row>
    <row r="1126" spans="2:13">
      <c r="B1126" s="104" t="s">
        <v>709</v>
      </c>
      <c r="C1126" s="4">
        <v>100</v>
      </c>
      <c r="D1126" s="5">
        <f>C1126/100*99</f>
        <v>99</v>
      </c>
      <c r="E1126" s="11">
        <f>C1126/100*3.3</f>
        <v>3.3</v>
      </c>
      <c r="F1126" s="11">
        <f>C1126/100*2.2</f>
        <v>2.2000000000000002</v>
      </c>
      <c r="G1126" s="11">
        <f>C1126/100*17.7</f>
        <v>17.7</v>
      </c>
      <c r="H1126" s="11">
        <f t="shared" si="53"/>
        <v>0</v>
      </c>
      <c r="I1126" s="70"/>
      <c r="J1126" s="70"/>
      <c r="K1126" s="70">
        <f>C1126/100*2.5</f>
        <v>2.5</v>
      </c>
      <c r="L1126" s="11">
        <f>C1126/100*0.0254212</f>
        <v>2.5421200000000001E-2</v>
      </c>
      <c r="M1126" s="3">
        <v>1</v>
      </c>
    </row>
    <row r="1127" spans="2:13">
      <c r="B1127" s="104" t="s">
        <v>710</v>
      </c>
      <c r="C1127" s="4">
        <v>100</v>
      </c>
      <c r="D1127" s="5">
        <f>C1127/100*327</f>
        <v>327</v>
      </c>
      <c r="E1127" s="11">
        <f>C1127/100*2.4</f>
        <v>2.4</v>
      </c>
      <c r="F1127" s="11">
        <f>C1127/100*3.5</f>
        <v>3.5</v>
      </c>
      <c r="G1127" s="11">
        <f>C1127/100*71.4</f>
        <v>71.400000000000006</v>
      </c>
      <c r="H1127" s="11">
        <f t="shared" si="53"/>
        <v>0</v>
      </c>
      <c r="I1127" s="70">
        <f>C1127/100*0</f>
        <v>0</v>
      </c>
      <c r="J1127" s="70">
        <f>C1127/100*0.5</f>
        <v>0.5</v>
      </c>
      <c r="K1127" s="70">
        <f>C1127/100*0.5</f>
        <v>0.5</v>
      </c>
      <c r="L1127" s="70">
        <f>C1127/100*0.6</f>
        <v>0.6</v>
      </c>
      <c r="M1127" s="19" t="s">
        <v>751</v>
      </c>
    </row>
    <row r="1128" spans="2:13">
      <c r="B1128" s="103" t="s">
        <v>711</v>
      </c>
      <c r="C1128" s="4">
        <v>100</v>
      </c>
      <c r="D1128" s="5">
        <f>C1128/100*125</f>
        <v>125</v>
      </c>
      <c r="E1128" s="11">
        <f>C1128/100*3.8</f>
        <v>3.8</v>
      </c>
      <c r="F1128" s="11">
        <f>C1128/100*0.1</f>
        <v>0.1</v>
      </c>
      <c r="G1128" s="11">
        <f>C1128/100*28.3</f>
        <v>28.3</v>
      </c>
      <c r="H1128" s="11">
        <f t="shared" si="53"/>
        <v>0</v>
      </c>
      <c r="I1128" s="70">
        <f>C1128/100*3.3</f>
        <v>3.3</v>
      </c>
      <c r="J1128" s="70">
        <f>C1128/100*2.1</f>
        <v>2.1</v>
      </c>
      <c r="K1128" s="70">
        <f>C1128/100*5.4</f>
        <v>5.4</v>
      </c>
      <c r="L1128" s="70">
        <f>C1128/100*0</f>
        <v>0</v>
      </c>
      <c r="M1128" s="3">
        <v>1</v>
      </c>
    </row>
    <row r="1129" spans="2:13">
      <c r="B1129" s="104" t="s">
        <v>712</v>
      </c>
      <c r="C1129" s="4">
        <v>100</v>
      </c>
      <c r="D1129" s="5">
        <f>C1129/100*126</f>
        <v>126</v>
      </c>
      <c r="E1129" s="11">
        <f>C1129/100*3.4</f>
        <v>3.4</v>
      </c>
      <c r="F1129" s="11">
        <f>C1129/100*0.1</f>
        <v>0.1</v>
      </c>
      <c r="G1129" s="11">
        <f>C1129/100*28.7</f>
        <v>28.7</v>
      </c>
      <c r="H1129" s="11">
        <f t="shared" si="53"/>
        <v>0</v>
      </c>
      <c r="I1129" s="70">
        <f>C1129/100*3.2</f>
        <v>3.2</v>
      </c>
      <c r="J1129" s="70">
        <f>C1129/100*2.8</f>
        <v>2.8</v>
      </c>
      <c r="K1129" s="70">
        <f>C1129/100*6</f>
        <v>6</v>
      </c>
      <c r="L1129" s="70">
        <f>C1129/100*0</f>
        <v>0</v>
      </c>
      <c r="M1129" s="3">
        <v>1</v>
      </c>
    </row>
    <row r="1130" spans="2:13">
      <c r="B1130" s="104" t="s">
        <v>875</v>
      </c>
      <c r="C1130" s="4">
        <v>100</v>
      </c>
      <c r="D1130" s="5">
        <f>C1130/100*274</f>
        <v>274</v>
      </c>
      <c r="E1130" s="11">
        <f>C1130/100*5.32</f>
        <v>5.32</v>
      </c>
      <c r="F1130" s="11">
        <f>C1130/100*3.95</f>
        <v>3.95</v>
      </c>
      <c r="G1130" s="11">
        <f>C1130/100*54.29</f>
        <v>54.29</v>
      </c>
      <c r="H1130" s="11">
        <f t="shared" si="53"/>
        <v>0</v>
      </c>
      <c r="I1130" s="70"/>
      <c r="J1130" s="70"/>
      <c r="K1130" s="70">
        <f>C1130/100*0.52</f>
        <v>0.52</v>
      </c>
      <c r="L1130" s="11">
        <f>C1130/100*0.09</f>
        <v>0.09</v>
      </c>
      <c r="M1130" s="19" t="s">
        <v>751</v>
      </c>
    </row>
    <row r="1131" spans="2:13">
      <c r="B1131" s="104" t="s">
        <v>713</v>
      </c>
      <c r="C1131" s="4">
        <v>100</v>
      </c>
      <c r="D1131" s="5">
        <f>C1131/100*296</f>
        <v>296</v>
      </c>
      <c r="E1131" s="11">
        <f>C1131/100*3.6</f>
        <v>3.6</v>
      </c>
      <c r="F1131" s="11">
        <f>C1131/100*6.2</f>
        <v>6.2</v>
      </c>
      <c r="G1131" s="11">
        <f>C1131/100*70</f>
        <v>70</v>
      </c>
      <c r="H1131" s="11">
        <f t="shared" si="53"/>
        <v>0</v>
      </c>
      <c r="I1131" s="70"/>
      <c r="J1131" s="70"/>
      <c r="K1131" s="70">
        <f>C1131/100*3.1</f>
        <v>3.1</v>
      </c>
      <c r="L1131" s="70">
        <f>C1131/100*0</f>
        <v>0</v>
      </c>
      <c r="M1131" s="19" t="s">
        <v>751</v>
      </c>
    </row>
    <row r="1132" spans="2:13">
      <c r="B1132" s="104" t="s">
        <v>714</v>
      </c>
      <c r="C1132" s="4">
        <v>100</v>
      </c>
      <c r="D1132" s="5">
        <f>C1132/100*171</f>
        <v>171</v>
      </c>
      <c r="E1132" s="11">
        <f>C1132/100*2.6</f>
        <v>2.6</v>
      </c>
      <c r="F1132" s="11">
        <f>C1132/100*0.1</f>
        <v>0.1</v>
      </c>
      <c r="G1132" s="11">
        <f>C1132/100*40</f>
        <v>40</v>
      </c>
      <c r="H1132" s="11">
        <f t="shared" si="53"/>
        <v>0</v>
      </c>
      <c r="I1132" s="70"/>
      <c r="J1132" s="70"/>
      <c r="K1132" s="70">
        <f>C1132/100*2.2</f>
        <v>2.2000000000000002</v>
      </c>
      <c r="L1132" s="70">
        <f>C1132/100*0.1</f>
        <v>0.1</v>
      </c>
      <c r="M1132" s="19" t="s">
        <v>751</v>
      </c>
    </row>
    <row r="1133" spans="2:13">
      <c r="B1133" s="104" t="s">
        <v>715</v>
      </c>
      <c r="C1133" s="4">
        <v>100</v>
      </c>
      <c r="D1133" s="5">
        <f>C1133/100*35</f>
        <v>35</v>
      </c>
      <c r="E1133" s="11">
        <f>C1133/100*4.1</f>
        <v>4.0999999999999996</v>
      </c>
      <c r="F1133" s="11">
        <f>C1133/100*0.4</f>
        <v>0.4</v>
      </c>
      <c r="G1133" s="11">
        <f>C1133/100*6</f>
        <v>6</v>
      </c>
      <c r="H1133" s="11">
        <f t="shared" si="53"/>
        <v>0</v>
      </c>
      <c r="I1133" s="70">
        <f>C1133/100*0.7</f>
        <v>0.7</v>
      </c>
      <c r="J1133" s="70">
        <f>C1133/100*3</f>
        <v>3</v>
      </c>
      <c r="K1133" s="70">
        <f>C1133/100*3.7</f>
        <v>3.7</v>
      </c>
      <c r="L1133" s="11">
        <f>C1133/100*0</f>
        <v>0</v>
      </c>
      <c r="M1133" s="3">
        <v>6</v>
      </c>
    </row>
    <row r="1134" spans="2:13">
      <c r="B1134" s="104" t="s">
        <v>716</v>
      </c>
      <c r="C1134" s="4">
        <v>100</v>
      </c>
      <c r="D1134" s="5">
        <f>C1134/100*31</f>
        <v>31</v>
      </c>
      <c r="E1134" s="11">
        <f>C1134/100*3.6</f>
        <v>3.6</v>
      </c>
      <c r="F1134" s="11">
        <f>C1134/100*0.4</f>
        <v>0.4</v>
      </c>
      <c r="G1134" s="11">
        <f>C1134/100*5.3</f>
        <v>5.3</v>
      </c>
      <c r="H1134" s="11">
        <f t="shared" si="53"/>
        <v>0</v>
      </c>
      <c r="I1134" s="70">
        <f>C1134/100*1.1</f>
        <v>1.1000000000000001</v>
      </c>
      <c r="J1134" s="70">
        <f>C1134/100*3</f>
        <v>3</v>
      </c>
      <c r="K1134" s="70">
        <f>C1134/100*4.1</f>
        <v>4.0999999999999996</v>
      </c>
      <c r="L1134" s="11">
        <f>C1134/100*0</f>
        <v>0</v>
      </c>
      <c r="M1134" s="3">
        <v>6</v>
      </c>
    </row>
    <row r="1135" spans="2:13">
      <c r="B1135" s="104" t="s">
        <v>717</v>
      </c>
      <c r="C1135" s="4">
        <v>70</v>
      </c>
      <c r="D1135" s="5">
        <f>C1135/100*64/0.7</f>
        <v>64</v>
      </c>
      <c r="E1135" s="11">
        <f>C1135/100*2.5/0.7</f>
        <v>2.5</v>
      </c>
      <c r="F1135" s="11">
        <f>C1135/100*1.5/0.7</f>
        <v>1.4999999999999998</v>
      </c>
      <c r="G1135" s="11">
        <f>C1135/100*10.2/0.7</f>
        <v>10.199999999999999</v>
      </c>
      <c r="H1135" s="11">
        <f>C1135/100*8.4/0.7</f>
        <v>8.4</v>
      </c>
      <c r="I1135" s="70"/>
      <c r="J1135" s="70"/>
      <c r="K1135" s="70"/>
      <c r="L1135" s="11">
        <f>C1135/100*0.0838899/0.7</f>
        <v>8.3889900000000003E-2</v>
      </c>
      <c r="M1135" s="3">
        <v>4</v>
      </c>
    </row>
    <row r="1136" spans="2:13">
      <c r="B1136" s="104" t="s">
        <v>718</v>
      </c>
      <c r="C1136" s="4">
        <v>100</v>
      </c>
      <c r="D1136" s="5">
        <f>C1136/100*43</f>
        <v>43</v>
      </c>
      <c r="E1136" s="11">
        <f>C1136/100*3.9</f>
        <v>3.9</v>
      </c>
      <c r="F1136" s="11">
        <f>C1136/100*0</f>
        <v>0</v>
      </c>
      <c r="G1136" s="11">
        <f>C1136/100*5.9</f>
        <v>5.9</v>
      </c>
      <c r="H1136" s="11">
        <f>C1136/100*4</f>
        <v>4</v>
      </c>
      <c r="I1136" s="70"/>
      <c r="J1136" s="70"/>
      <c r="K1136" s="70"/>
      <c r="L1136" s="11">
        <f>C1136/100*0.12</f>
        <v>0.12</v>
      </c>
      <c r="M1136" s="3">
        <v>4</v>
      </c>
    </row>
    <row r="1137" spans="2:13">
      <c r="B1137" s="104" t="s">
        <v>962</v>
      </c>
      <c r="C1137" s="4">
        <v>100</v>
      </c>
      <c r="D1137" s="5">
        <f>C1137/100*43</f>
        <v>43</v>
      </c>
      <c r="E1137" s="11">
        <f>C1137/100*3.8</f>
        <v>3.8</v>
      </c>
      <c r="F1137" s="11">
        <f>C1137/100*0</f>
        <v>0</v>
      </c>
      <c r="G1137" s="11">
        <f>C1137/100*6.3</f>
        <v>6.3</v>
      </c>
      <c r="H1137" s="11">
        <f>C1137/100*4</f>
        <v>4</v>
      </c>
      <c r="I1137" s="70"/>
      <c r="J1137" s="70"/>
      <c r="K1137" s="70"/>
      <c r="L1137" s="11">
        <f>C1137/100*0.1296481</f>
        <v>0.12964809999999999</v>
      </c>
      <c r="M1137" s="19" t="s">
        <v>751</v>
      </c>
    </row>
    <row r="1138" spans="2:13">
      <c r="B1138" s="104" t="s">
        <v>719</v>
      </c>
      <c r="C1138" s="4">
        <v>100</v>
      </c>
      <c r="D1138" s="5">
        <f>C1138/100*63</f>
        <v>63</v>
      </c>
      <c r="E1138" s="11">
        <f>C1138/100*3.6</f>
        <v>3.6</v>
      </c>
      <c r="F1138" s="11">
        <f>C1138/100*3.1</f>
        <v>3.1</v>
      </c>
      <c r="G1138" s="11">
        <f>C1138/100*5.2</f>
        <v>5.2</v>
      </c>
      <c r="H1138" s="11">
        <f>C1138/100*12</f>
        <v>12</v>
      </c>
      <c r="I1138" s="70"/>
      <c r="J1138" s="70"/>
      <c r="K1138" s="70"/>
      <c r="L1138" s="11">
        <f>C1138/100*0.1144</f>
        <v>0.1144</v>
      </c>
      <c r="M1138" s="3">
        <v>4</v>
      </c>
    </row>
    <row r="1139" spans="2:13">
      <c r="B1139" s="104" t="s">
        <v>888</v>
      </c>
      <c r="C1139" s="4">
        <v>100</v>
      </c>
      <c r="D1139" s="5">
        <f>C1139/100*328</f>
        <v>328</v>
      </c>
      <c r="E1139" s="11">
        <f>C1139/100*9.1</f>
        <v>9.1</v>
      </c>
      <c r="F1139" s="11">
        <f>C1139/100*1.1</f>
        <v>1.1000000000000001</v>
      </c>
      <c r="G1139" s="11">
        <f>C1139/100*71.5</f>
        <v>71.5</v>
      </c>
      <c r="H1139" s="11">
        <f t="shared" ref="H1139:H1159" si="54">C1139/100*0</f>
        <v>0</v>
      </c>
      <c r="I1139" s="70"/>
      <c r="J1139" s="70"/>
      <c r="K1139" s="70">
        <f>C1139/100*2.1</f>
        <v>2.1</v>
      </c>
      <c r="L1139" s="11">
        <f>C1139/100*5.8468783</f>
        <v>5.8468783000000002</v>
      </c>
      <c r="M1139" s="3">
        <v>1</v>
      </c>
    </row>
    <row r="1140" spans="2:13">
      <c r="B1140" s="104" t="s">
        <v>889</v>
      </c>
      <c r="C1140" s="113">
        <v>100</v>
      </c>
      <c r="D1140" s="5">
        <f>C1140/100*102.96</f>
        <v>102.96</v>
      </c>
      <c r="E1140" s="11">
        <f>C1140/100*2.86</f>
        <v>2.86</v>
      </c>
      <c r="F1140" s="11">
        <f>C1140/100*0.35</f>
        <v>0.35</v>
      </c>
      <c r="G1140" s="11">
        <f>C1140/100*22.44</f>
        <v>22.44</v>
      </c>
      <c r="H1140" s="11">
        <f t="shared" si="54"/>
        <v>0</v>
      </c>
      <c r="I1140" s="70"/>
      <c r="J1140" s="70"/>
      <c r="K1140" s="70">
        <f>C1140/100*0.66</f>
        <v>0.66</v>
      </c>
      <c r="L1140" s="11">
        <f>C1140/100*0.46</f>
        <v>0.46</v>
      </c>
      <c r="M1140" s="3">
        <v>1</v>
      </c>
    </row>
    <row r="1141" spans="2:13">
      <c r="B1141" s="104" t="s">
        <v>826</v>
      </c>
      <c r="C1141" s="4">
        <v>100</v>
      </c>
      <c r="D1141" s="5">
        <f>C1141/100*46</f>
        <v>46</v>
      </c>
      <c r="E1141" s="11">
        <f>C1141/100*5.2</f>
        <v>5.2</v>
      </c>
      <c r="F1141" s="11">
        <f>C1141/100*0.3</f>
        <v>0.3</v>
      </c>
      <c r="G1141" s="11">
        <f>C1141/100*8.7</f>
        <v>8.6999999999999993</v>
      </c>
      <c r="H1141" s="11">
        <f t="shared" si="54"/>
        <v>0</v>
      </c>
      <c r="I1141" s="70">
        <f>C1141/100*0.9</f>
        <v>0.9</v>
      </c>
      <c r="J1141" s="70">
        <f>C1141/100*6.9</f>
        <v>6.9</v>
      </c>
      <c r="K1141" s="70">
        <f>C1141/100*7.8</f>
        <v>7.8</v>
      </c>
      <c r="L1141" s="11">
        <f>C1141/100*0</f>
        <v>0</v>
      </c>
      <c r="M1141" s="3">
        <v>6</v>
      </c>
    </row>
    <row r="1142" spans="2:13">
      <c r="B1142" s="104" t="s">
        <v>827</v>
      </c>
      <c r="C1142" s="4">
        <v>100</v>
      </c>
      <c r="D1142" s="5">
        <f>C1142/100*42</f>
        <v>42</v>
      </c>
      <c r="E1142" s="11">
        <f>C1142/100*4.8</f>
        <v>4.8</v>
      </c>
      <c r="F1142" s="11">
        <f>C1142/100*0.1</f>
        <v>0.1</v>
      </c>
      <c r="G1142" s="11">
        <f>C1142/100*8.2</f>
        <v>8.1999999999999993</v>
      </c>
      <c r="H1142" s="11">
        <f t="shared" si="54"/>
        <v>0</v>
      </c>
      <c r="I1142" s="70">
        <f>C1142/100*0.9</f>
        <v>0.9</v>
      </c>
      <c r="J1142" s="70">
        <f>C1142/100*6.9</f>
        <v>6.9</v>
      </c>
      <c r="K1142" s="70">
        <f>C1142/100*7.8</f>
        <v>7.8</v>
      </c>
      <c r="L1142" s="11">
        <f>C1142/100*0</f>
        <v>0</v>
      </c>
      <c r="M1142" s="3">
        <v>6</v>
      </c>
    </row>
    <row r="1143" spans="2:13">
      <c r="B1143" s="104" t="s">
        <v>720</v>
      </c>
      <c r="C1143" s="4">
        <v>100</v>
      </c>
      <c r="D1143" s="5">
        <f>C1143/100*203</f>
        <v>203</v>
      </c>
      <c r="E1143" s="11">
        <f>C1143/100*2.9</f>
        <v>2.9</v>
      </c>
      <c r="F1143" s="11">
        <f>C1143/100*0.7</f>
        <v>0.7</v>
      </c>
      <c r="G1143" s="11">
        <f>C1143/100*80.3</f>
        <v>80.3</v>
      </c>
      <c r="H1143" s="11">
        <f t="shared" si="54"/>
        <v>0</v>
      </c>
      <c r="I1143" s="70"/>
      <c r="J1143" s="70"/>
      <c r="K1143" s="70"/>
      <c r="L1143" s="11">
        <f>C1143/100*0.0305054</f>
        <v>3.0505399999999998E-2</v>
      </c>
      <c r="M1143" s="19" t="s">
        <v>751</v>
      </c>
    </row>
    <row r="1144" spans="2:13">
      <c r="B1144" s="104" t="s">
        <v>721</v>
      </c>
      <c r="C1144" s="4">
        <v>110</v>
      </c>
      <c r="D1144" s="5">
        <f>C1144/100*287/1.1</f>
        <v>287</v>
      </c>
      <c r="E1144" s="11">
        <f>C1144/100*12.1/1.1</f>
        <v>12.1</v>
      </c>
      <c r="F1144" s="11">
        <f>C1144/100*1/1.1</f>
        <v>1</v>
      </c>
      <c r="G1144" s="11">
        <f>C1144/100*57.3/1.1</f>
        <v>57.3</v>
      </c>
      <c r="H1144" s="11">
        <f t="shared" si="54"/>
        <v>0</v>
      </c>
      <c r="I1144" s="70"/>
      <c r="J1144" s="70"/>
      <c r="K1144" s="70"/>
      <c r="L1144" s="11">
        <f>C1144/100*2.4328097/1.1</f>
        <v>2.4328097</v>
      </c>
      <c r="M1144" s="3">
        <v>1</v>
      </c>
    </row>
    <row r="1145" spans="2:13">
      <c r="B1145" s="104" t="s">
        <v>722</v>
      </c>
      <c r="C1145" s="4">
        <v>110</v>
      </c>
      <c r="D1145" s="5">
        <f>C1145/100*289/1.1</f>
        <v>289</v>
      </c>
      <c r="E1145" s="11">
        <f>C1145/100*8.5/1.1</f>
        <v>8.5</v>
      </c>
      <c r="F1145" s="11">
        <f>C1145/100*1.3/1.1</f>
        <v>1.3</v>
      </c>
      <c r="G1145" s="11">
        <f>C1145/100*60.9/1.1</f>
        <v>60.900000000000006</v>
      </c>
      <c r="H1145" s="11">
        <f t="shared" si="54"/>
        <v>0</v>
      </c>
      <c r="I1145" s="70"/>
      <c r="J1145" s="70"/>
      <c r="K1145" s="70"/>
      <c r="L1145" s="70">
        <f>C1145/100*1.5456095/1.1</f>
        <v>1.5456095000000001</v>
      </c>
      <c r="M1145" s="3">
        <v>1</v>
      </c>
    </row>
    <row r="1146" spans="2:13">
      <c r="B1146" s="104" t="s">
        <v>854</v>
      </c>
      <c r="C1146" s="4">
        <v>140</v>
      </c>
      <c r="D1146" s="5">
        <f>C1146/100*355/1.4</f>
        <v>355</v>
      </c>
      <c r="E1146" s="11">
        <f>C1146/100*12.5/1.4</f>
        <v>12.5</v>
      </c>
      <c r="F1146" s="11">
        <f>C1146/100*1.4/1.4</f>
        <v>1.4</v>
      </c>
      <c r="G1146" s="11">
        <f>C1146/100*73.2/1.4</f>
        <v>73.2</v>
      </c>
      <c r="H1146" s="11">
        <f t="shared" si="54"/>
        <v>0</v>
      </c>
      <c r="I1146" s="70"/>
      <c r="J1146" s="70"/>
      <c r="K1146" s="70"/>
      <c r="L1146" s="11">
        <f>C1146/100*1.220218/1.4</f>
        <v>1.220218</v>
      </c>
      <c r="M1146" s="3">
        <v>1</v>
      </c>
    </row>
    <row r="1147" spans="2:13">
      <c r="B1147" s="81" t="s">
        <v>1105</v>
      </c>
      <c r="C1147" s="4">
        <v>110</v>
      </c>
      <c r="D1147" s="5">
        <f>C1147/100*289/1.1</f>
        <v>289</v>
      </c>
      <c r="E1147" s="11">
        <f>C1147/100*8.5/1.1</f>
        <v>8.5</v>
      </c>
      <c r="F1147" s="11">
        <f>C1147/100*1.3/1.1</f>
        <v>1.3</v>
      </c>
      <c r="G1147" s="11">
        <f>C1147/100*60.9/1.1</f>
        <v>60.900000000000006</v>
      </c>
      <c r="H1147" s="11">
        <f t="shared" si="54"/>
        <v>0</v>
      </c>
      <c r="I1147" s="70"/>
      <c r="J1147" s="70"/>
      <c r="K1147" s="70">
        <f>C1147/100*0.15/1.1</f>
        <v>0.15</v>
      </c>
      <c r="L1147" s="11">
        <f>C1147/100*1.5456095/1.1</f>
        <v>1.5456095000000001</v>
      </c>
      <c r="M1147" s="3">
        <v>1</v>
      </c>
    </row>
    <row r="1148" spans="2:13">
      <c r="B1148" s="81" t="s">
        <v>1244</v>
      </c>
      <c r="C1148" s="4">
        <v>110</v>
      </c>
      <c r="D1148" s="5">
        <f>C1148/100*289/1.1</f>
        <v>289</v>
      </c>
      <c r="E1148" s="11">
        <f>C1148/100*8.5/1.1</f>
        <v>8.5</v>
      </c>
      <c r="F1148" s="11">
        <f>C1148/100*1.3/1.1</f>
        <v>1.3</v>
      </c>
      <c r="G1148" s="11">
        <f>C1148/100*60.9/1.1</f>
        <v>60.900000000000006</v>
      </c>
      <c r="H1148" s="11">
        <f t="shared" si="54"/>
        <v>0</v>
      </c>
      <c r="I1148" s="70"/>
      <c r="J1148" s="70"/>
      <c r="K1148" s="70">
        <f>C1148/100*0.15/1.1</f>
        <v>0.15</v>
      </c>
      <c r="L1148" s="11">
        <f>C1148/100*1.5456095/1.1*0.2</f>
        <v>0.30912190000000006</v>
      </c>
      <c r="M1148" s="3">
        <v>1</v>
      </c>
    </row>
    <row r="1149" spans="2:13">
      <c r="B1149" s="104" t="s">
        <v>744</v>
      </c>
      <c r="C1149" s="4">
        <v>29</v>
      </c>
      <c r="D1149" s="5">
        <f>C1149/100*56/0.29</f>
        <v>56</v>
      </c>
      <c r="E1149" s="11">
        <f>C1149/100*0.9/0.29</f>
        <v>0.90000000000000013</v>
      </c>
      <c r="F1149" s="11">
        <f>C1149/100*4.3/0.29</f>
        <v>4.3</v>
      </c>
      <c r="G1149" s="11">
        <f>C1149/100*2.6/0.29</f>
        <v>2.6</v>
      </c>
      <c r="H1149" s="11">
        <f t="shared" si="54"/>
        <v>0</v>
      </c>
      <c r="I1149" s="70"/>
      <c r="J1149" s="70"/>
      <c r="K1149" s="70"/>
      <c r="L1149" s="11">
        <f>C1149/100*7.1179388/0.29</f>
        <v>7.1179388000000001</v>
      </c>
      <c r="M1149" s="19" t="s">
        <v>750</v>
      </c>
    </row>
    <row r="1150" spans="2:13">
      <c r="B1150" s="108" t="s">
        <v>723</v>
      </c>
      <c r="C1150" s="4">
        <v>29</v>
      </c>
      <c r="D1150" s="5">
        <f>C1150/100*63/0.29</f>
        <v>63</v>
      </c>
      <c r="E1150" s="11">
        <f>C1150/100*1.6/0.29</f>
        <v>1.6</v>
      </c>
      <c r="F1150" s="11">
        <f>C1150/100*4.5/0.29</f>
        <v>4.5</v>
      </c>
      <c r="G1150" s="11">
        <f>C1150/100*3.4/0.29</f>
        <v>3.4</v>
      </c>
      <c r="H1150" s="11">
        <f t="shared" si="54"/>
        <v>0</v>
      </c>
      <c r="I1150" s="70"/>
      <c r="J1150" s="70"/>
      <c r="K1150" s="70"/>
      <c r="L1150" s="11">
        <f>C1150/100*6.3553029/0.29</f>
        <v>6.3553028999999999</v>
      </c>
      <c r="M1150" s="19" t="s">
        <v>750</v>
      </c>
    </row>
    <row r="1151" spans="2:13">
      <c r="B1151" s="104" t="s">
        <v>724</v>
      </c>
      <c r="C1151" s="4">
        <v>48</v>
      </c>
      <c r="D1151" s="5">
        <f>C1151/100*119/0.48</f>
        <v>119</v>
      </c>
      <c r="E1151" s="11">
        <f>C1151/100*5/0.48</f>
        <v>5</v>
      </c>
      <c r="F1151" s="11">
        <f>C1151/100*6.8/0.48</f>
        <v>6.8</v>
      </c>
      <c r="G1151" s="11">
        <f>C1151/100*9.6/0.48</f>
        <v>9.6</v>
      </c>
      <c r="H1151" s="11">
        <f t="shared" si="54"/>
        <v>0</v>
      </c>
      <c r="I1151" s="70"/>
      <c r="J1151" s="70"/>
      <c r="K1151" s="70"/>
      <c r="L1151" s="70">
        <f>C1151/100*7.3721509/0.48</f>
        <v>7.3721509000000003</v>
      </c>
      <c r="M1151" s="3"/>
    </row>
    <row r="1152" spans="2:13">
      <c r="B1152" s="81" t="s">
        <v>1207</v>
      </c>
      <c r="C1152" s="4">
        <v>100</v>
      </c>
      <c r="D1152" s="5">
        <f>C1152/100*149</f>
        <v>149</v>
      </c>
      <c r="E1152" s="11">
        <f>C1152/100*4.9</f>
        <v>4.9000000000000004</v>
      </c>
      <c r="F1152" s="11">
        <f>C1152/100*0.6</f>
        <v>0.6</v>
      </c>
      <c r="G1152" s="11">
        <f>C1152/100*29.2</f>
        <v>29.2</v>
      </c>
      <c r="H1152" s="11">
        <f t="shared" si="54"/>
        <v>0</v>
      </c>
      <c r="I1152" s="70"/>
      <c r="J1152" s="70"/>
      <c r="K1152" s="70">
        <f>C1152/100*1.3</f>
        <v>1.3</v>
      </c>
      <c r="L1152" s="11">
        <f>C1152/100*0.2</f>
        <v>0.2</v>
      </c>
      <c r="M1152" s="3">
        <v>1</v>
      </c>
    </row>
    <row r="1153" spans="2:13">
      <c r="B1153" s="104" t="s">
        <v>725</v>
      </c>
      <c r="C1153" s="4">
        <v>100</v>
      </c>
      <c r="D1153" s="5">
        <f>C1153/100*261</f>
        <v>261</v>
      </c>
      <c r="E1153" s="11">
        <f>C1153/100*9.2</f>
        <v>9.1999999999999993</v>
      </c>
      <c r="F1153" s="11">
        <f>C1153/100*0.9</f>
        <v>0.9</v>
      </c>
      <c r="G1153" s="11">
        <f>C1153/100*54.1</f>
        <v>54.1</v>
      </c>
      <c r="H1153" s="11">
        <f t="shared" si="54"/>
        <v>0</v>
      </c>
      <c r="I1153" s="70"/>
      <c r="J1153" s="70"/>
      <c r="K1153" s="70"/>
      <c r="L1153" s="11">
        <f>C1153/100*2.3641725</f>
        <v>2.3641725</v>
      </c>
      <c r="M1153" s="3">
        <v>1</v>
      </c>
    </row>
    <row r="1154" spans="2:13">
      <c r="B1154" s="104" t="s">
        <v>726</v>
      </c>
      <c r="C1154" s="4">
        <v>100</v>
      </c>
      <c r="D1154" s="5">
        <f>C1154/100*63</f>
        <v>63</v>
      </c>
      <c r="E1154" s="11">
        <f>C1154/100*1</f>
        <v>1</v>
      </c>
      <c r="F1154" s="11">
        <f>C1154/100*0.1</f>
        <v>0.1</v>
      </c>
      <c r="G1154" s="11">
        <f>C1154/100*16.4</f>
        <v>16.399999999999999</v>
      </c>
      <c r="H1154" s="11">
        <f t="shared" si="54"/>
        <v>0</v>
      </c>
      <c r="I1154" s="70">
        <f>C1154/100*0.4</f>
        <v>0.4</v>
      </c>
      <c r="J1154" s="70">
        <f>C1154/100*0.5</f>
        <v>0.5</v>
      </c>
      <c r="K1154" s="70">
        <f>C1154/100*0.9</f>
        <v>0.9</v>
      </c>
      <c r="L1154" s="11">
        <f>C1154/100*0</f>
        <v>0</v>
      </c>
      <c r="M1154" s="3">
        <v>2</v>
      </c>
    </row>
    <row r="1155" spans="2:13">
      <c r="B1155" s="104" t="s">
        <v>727</v>
      </c>
      <c r="C1155" s="4">
        <v>100</v>
      </c>
      <c r="D1155" s="5">
        <f>C1155/100*389</f>
        <v>389</v>
      </c>
      <c r="E1155" s="11">
        <f>C1155/100*2.4</f>
        <v>2.4</v>
      </c>
      <c r="F1155" s="11">
        <f>C1155/100*0.2</f>
        <v>0.2</v>
      </c>
      <c r="G1155" s="11">
        <f>C1155/100*94.3</f>
        <v>94.3</v>
      </c>
      <c r="H1155" s="11">
        <f t="shared" si="54"/>
        <v>0</v>
      </c>
      <c r="I1155" s="70"/>
      <c r="J1155" s="70"/>
      <c r="K1155" s="70">
        <f>C1155/100*0.2</f>
        <v>0.2</v>
      </c>
      <c r="L1155" s="11">
        <f>C1155/100*0.0050842</f>
        <v>5.0841999999999997E-3</v>
      </c>
      <c r="M1155" s="19" t="s">
        <v>751</v>
      </c>
    </row>
    <row r="1156" spans="2:13">
      <c r="B1156" s="104" t="s">
        <v>728</v>
      </c>
      <c r="C1156" s="4">
        <v>100</v>
      </c>
      <c r="D1156" s="5">
        <f>C1156/100*195</f>
        <v>195</v>
      </c>
      <c r="E1156" s="11">
        <f>C1156/100*4.3</f>
        <v>4.3</v>
      </c>
      <c r="F1156" s="11">
        <f>C1156/100*1</f>
        <v>1</v>
      </c>
      <c r="G1156" s="11">
        <f>C1156/100*45.3</f>
        <v>45.3</v>
      </c>
      <c r="H1156" s="11">
        <f t="shared" si="54"/>
        <v>0</v>
      </c>
      <c r="I1156" s="70"/>
      <c r="J1156" s="70"/>
      <c r="K1156" s="70">
        <f>C1156/100*6.1</f>
        <v>6.1</v>
      </c>
      <c r="L1156" s="11"/>
      <c r="M1156" s="3">
        <v>1</v>
      </c>
    </row>
    <row r="1157" spans="2:13">
      <c r="B1157" s="104" t="s">
        <v>729</v>
      </c>
      <c r="C1157" s="4">
        <v>100</v>
      </c>
      <c r="D1157" s="5">
        <f>C1157/100*562</f>
        <v>562</v>
      </c>
      <c r="E1157" s="11">
        <f>C1157/100*25.4</f>
        <v>25.4</v>
      </c>
      <c r="F1157" s="11">
        <f>C1157/100*47.5</f>
        <v>47.5</v>
      </c>
      <c r="G1157" s="11">
        <f>C1157/100*18.8</f>
        <v>18.8</v>
      </c>
      <c r="H1157" s="11">
        <f t="shared" si="54"/>
        <v>0</v>
      </c>
      <c r="I1157" s="70">
        <f>C1157/100*0.4</f>
        <v>0.4</v>
      </c>
      <c r="J1157" s="70">
        <f>C1157/100*7</f>
        <v>7</v>
      </c>
      <c r="K1157" s="70">
        <f>C1157/100*7.4</f>
        <v>7.4</v>
      </c>
      <c r="L1157" s="11">
        <f>C1157/100*0.0050842</f>
        <v>5.0841999999999997E-3</v>
      </c>
      <c r="M1157" s="3">
        <v>5</v>
      </c>
    </row>
    <row r="1158" spans="2:13">
      <c r="B1158" s="104" t="s">
        <v>730</v>
      </c>
      <c r="C1158" s="4">
        <v>100</v>
      </c>
      <c r="D1158" s="5">
        <f>C1158/100*585</f>
        <v>585</v>
      </c>
      <c r="E1158" s="11">
        <f>C1158/100*26.5</f>
        <v>26.5</v>
      </c>
      <c r="F1158" s="11">
        <f>C1158/100*49.4</f>
        <v>49.4</v>
      </c>
      <c r="G1158" s="11">
        <f>C1158/100*19.6</f>
        <v>19.600000000000001</v>
      </c>
      <c r="H1158" s="11">
        <f t="shared" si="54"/>
        <v>0</v>
      </c>
      <c r="I1158" s="70">
        <f>C1158/100*0.3</f>
        <v>0.3</v>
      </c>
      <c r="J1158" s="70">
        <f>C1158/100*6.9</f>
        <v>6.9</v>
      </c>
      <c r="K1158" s="70">
        <f>C1158/100*7.2</f>
        <v>7.2</v>
      </c>
      <c r="L1158" s="11">
        <f>C1158/100*0.0050842</f>
        <v>5.0841999999999997E-3</v>
      </c>
      <c r="M1158" s="3">
        <v>5</v>
      </c>
    </row>
    <row r="1159" spans="2:13">
      <c r="B1159" s="103" t="s">
        <v>731</v>
      </c>
      <c r="C1159" s="4">
        <v>100</v>
      </c>
      <c r="D1159" s="5">
        <f>C1159/100*115</f>
        <v>115</v>
      </c>
      <c r="E1159" s="11">
        <f>C1159/100*0.7</f>
        <v>0.7</v>
      </c>
      <c r="F1159" s="11">
        <f>C1159/100*0.2</f>
        <v>0.2</v>
      </c>
      <c r="G1159" s="11">
        <f>C1159/100*29</f>
        <v>29</v>
      </c>
      <c r="H1159" s="11">
        <f t="shared" si="54"/>
        <v>0</v>
      </c>
      <c r="I1159" s="70">
        <f>C1159/100*1.4</f>
        <v>1.4</v>
      </c>
      <c r="J1159" s="70">
        <f>C1159/100*1.7</f>
        <v>1.7</v>
      </c>
      <c r="K1159" s="70">
        <f>C1159/100*3.1</f>
        <v>3.1</v>
      </c>
      <c r="L1159" s="11">
        <f>C1159/100*2.2</f>
        <v>2.2000000000000002</v>
      </c>
      <c r="M1159" s="3">
        <v>6</v>
      </c>
    </row>
    <row r="1160" spans="2:13">
      <c r="B1160" s="104" t="s">
        <v>833</v>
      </c>
      <c r="C1160" s="4">
        <v>100</v>
      </c>
      <c r="D1160" s="5">
        <f>C1160/100*227</f>
        <v>227</v>
      </c>
      <c r="E1160" s="11">
        <f>C1160/100*18</f>
        <v>18</v>
      </c>
      <c r="F1160" s="11">
        <f>C1160/100*16</f>
        <v>16</v>
      </c>
      <c r="G1160" s="11">
        <f>C1160/100*0.1</f>
        <v>0.1</v>
      </c>
      <c r="H1160" s="11">
        <f>C1160/100*80</f>
        <v>80</v>
      </c>
      <c r="I1160" s="70"/>
      <c r="J1160" s="70"/>
      <c r="K1160" s="70"/>
      <c r="L1160" s="11">
        <f>C1160/100*0.1398166</f>
        <v>0.13981660000000001</v>
      </c>
      <c r="M1160" s="3">
        <v>3</v>
      </c>
    </row>
    <row r="1161" spans="2:13">
      <c r="B1161" s="104" t="s">
        <v>820</v>
      </c>
      <c r="C1161" s="4">
        <v>100</v>
      </c>
      <c r="D1161" s="5">
        <f>C1161/100*387</f>
        <v>387</v>
      </c>
      <c r="E1161" s="11">
        <f>C1161/100*16.5</f>
        <v>16.5</v>
      </c>
      <c r="F1161" s="11">
        <f>C1161/100*33.5</f>
        <v>33.5</v>
      </c>
      <c r="G1161" s="11">
        <f>C1161/100*0.1</f>
        <v>0.1</v>
      </c>
      <c r="H1161" s="11">
        <f>C1161/100*1400</f>
        <v>1400</v>
      </c>
      <c r="I1161" s="70"/>
      <c r="J1161" s="70"/>
      <c r="K1161" s="70"/>
      <c r="L1161" s="11">
        <f>C1161/100*0.1</f>
        <v>0.1</v>
      </c>
      <c r="M1161" s="3">
        <v>3</v>
      </c>
    </row>
    <row r="1162" spans="2:13">
      <c r="B1162" s="104" t="s">
        <v>821</v>
      </c>
      <c r="C1162" s="4">
        <v>100</v>
      </c>
      <c r="D1162" s="5">
        <f>C1162/100*47</f>
        <v>47</v>
      </c>
      <c r="E1162" s="11">
        <f>C1162/100*10.5</f>
        <v>10.5</v>
      </c>
      <c r="F1162" s="11">
        <f>C1162/100*0</f>
        <v>0</v>
      </c>
      <c r="G1162" s="11">
        <f>C1162/100*0.4</f>
        <v>0.4</v>
      </c>
      <c r="H1162" s="11">
        <f>C1162/100*1</f>
        <v>1</v>
      </c>
      <c r="I1162" s="70"/>
      <c r="J1162" s="70"/>
      <c r="K1162" s="70"/>
      <c r="L1162" s="11">
        <f>C1162/100*0.5</f>
        <v>0.5</v>
      </c>
      <c r="M1162" s="3">
        <v>3</v>
      </c>
    </row>
    <row r="1163" spans="2:13">
      <c r="B1163" s="104" t="s">
        <v>732</v>
      </c>
      <c r="C1163" s="4">
        <v>100</v>
      </c>
      <c r="D1163" s="5">
        <f>C1163/100*54</f>
        <v>54</v>
      </c>
      <c r="E1163" s="11">
        <f>C1163/100*0.2</f>
        <v>0.2</v>
      </c>
      <c r="F1163" s="11">
        <f>C1163/100*0.1</f>
        <v>0.1</v>
      </c>
      <c r="G1163" s="11">
        <f>C1163/100*14.6</f>
        <v>14.6</v>
      </c>
      <c r="H1163" s="11">
        <f t="shared" ref="H1163:H1172" si="55">C1163/100*0</f>
        <v>0</v>
      </c>
      <c r="I1163" s="70">
        <f>C1163/100*0.3</f>
        <v>0.3</v>
      </c>
      <c r="J1163" s="70">
        <f>C1163/100*1.2</f>
        <v>1.2</v>
      </c>
      <c r="K1163" s="70">
        <f>C1163/100*1.5</f>
        <v>1.5</v>
      </c>
      <c r="L1163" s="11">
        <f>C1163/100*0</f>
        <v>0</v>
      </c>
      <c r="M1163" s="3">
        <v>2</v>
      </c>
    </row>
    <row r="1164" spans="2:13">
      <c r="B1164" s="104" t="s">
        <v>903</v>
      </c>
      <c r="C1164" s="4">
        <v>100</v>
      </c>
      <c r="D1164" s="5">
        <f>C1164/100*315</f>
        <v>315</v>
      </c>
      <c r="E1164" s="11">
        <f>C1164/100*1</f>
        <v>1</v>
      </c>
      <c r="F1164" s="11">
        <f>C1164/100*0</f>
        <v>0</v>
      </c>
      <c r="G1164" s="11">
        <f>C1164/100*79</f>
        <v>79</v>
      </c>
      <c r="H1164" s="11">
        <f t="shared" si="55"/>
        <v>0</v>
      </c>
      <c r="I1164" s="70"/>
      <c r="J1164" s="70"/>
      <c r="K1164" s="70">
        <f>C1164/100*7</f>
        <v>7</v>
      </c>
      <c r="L1164" s="11">
        <f>C1164/100*0.2491278</f>
        <v>0.24912780000000001</v>
      </c>
      <c r="M1164" s="3">
        <v>2</v>
      </c>
    </row>
    <row r="1165" spans="2:13">
      <c r="B1165" s="81" t="s">
        <v>1117</v>
      </c>
      <c r="C1165" s="4">
        <v>100</v>
      </c>
      <c r="D1165" s="5">
        <f>C1165/100*44</f>
        <v>44</v>
      </c>
      <c r="E1165" s="11">
        <f>C1165/100*0.2</f>
        <v>0.2</v>
      </c>
      <c r="F1165" s="11">
        <f>C1165/100*0.1</f>
        <v>0.1</v>
      </c>
      <c r="G1165" s="11">
        <f>C1165/100*11.8</f>
        <v>11.8</v>
      </c>
      <c r="H1165" s="11">
        <f t="shared" si="55"/>
        <v>0</v>
      </c>
      <c r="I1165" s="70"/>
      <c r="J1165" s="70"/>
      <c r="K1165" s="70">
        <f>C1165/100*0</f>
        <v>0</v>
      </c>
      <c r="L1165" s="11">
        <f>C1165/100*0</f>
        <v>0</v>
      </c>
      <c r="M1165" s="19" t="s">
        <v>751</v>
      </c>
    </row>
    <row r="1166" spans="2:13">
      <c r="B1166" s="104" t="s">
        <v>850</v>
      </c>
      <c r="C1166" s="4">
        <v>100</v>
      </c>
      <c r="D1166" s="5">
        <f>C1166/100*44</f>
        <v>44</v>
      </c>
      <c r="E1166" s="11">
        <f>C1166/100*0.2</f>
        <v>0.2</v>
      </c>
      <c r="F1166" s="11">
        <f>C1166/100*0.1</f>
        <v>0.1</v>
      </c>
      <c r="G1166" s="11">
        <f>C1166/100*11.8</f>
        <v>11.8</v>
      </c>
      <c r="H1166" s="11">
        <f t="shared" si="55"/>
        <v>0</v>
      </c>
      <c r="I1166" s="70"/>
      <c r="J1166" s="70"/>
      <c r="K1166" s="70">
        <f>C1166/100*0</f>
        <v>0</v>
      </c>
      <c r="L1166" s="11">
        <f>C1166/100*0</f>
        <v>0</v>
      </c>
      <c r="M1166" s="19" t="s">
        <v>751</v>
      </c>
    </row>
    <row r="1167" spans="2:13">
      <c r="B1167" s="104" t="s">
        <v>860</v>
      </c>
      <c r="C1167" s="4">
        <v>100</v>
      </c>
      <c r="D1167" s="5">
        <f>C1167/100*48</f>
        <v>48</v>
      </c>
      <c r="E1167" s="11">
        <f>C1167/100*0</f>
        <v>0</v>
      </c>
      <c r="F1167" s="11">
        <f>C1167/100*0</f>
        <v>0</v>
      </c>
      <c r="G1167" s="11">
        <f>C1167/100*12</f>
        <v>12</v>
      </c>
      <c r="H1167" s="11">
        <f t="shared" si="55"/>
        <v>0</v>
      </c>
      <c r="I1167" s="70"/>
      <c r="J1167" s="70"/>
      <c r="K1167" s="70"/>
      <c r="L1167" s="11">
        <f>C1167/100*0.0406739</f>
        <v>4.0673899999999999E-2</v>
      </c>
      <c r="M1167" s="19" t="s">
        <v>751</v>
      </c>
    </row>
    <row r="1168" spans="2:13">
      <c r="B1168" s="104" t="s">
        <v>733</v>
      </c>
      <c r="C1168" s="4">
        <v>100</v>
      </c>
      <c r="D1168" s="5">
        <f>C1168/100*441</f>
        <v>441</v>
      </c>
      <c r="E1168" s="11">
        <f>C1168/100*4.4</f>
        <v>4.4000000000000004</v>
      </c>
      <c r="F1168" s="11">
        <f>C1168/100*13</f>
        <v>13</v>
      </c>
      <c r="G1168" s="11">
        <f>C1168/100*77.1</f>
        <v>77.099999999999994</v>
      </c>
      <c r="H1168" s="11">
        <f t="shared" si="55"/>
        <v>0</v>
      </c>
      <c r="I1168" s="70"/>
      <c r="J1168" s="70"/>
      <c r="K1168" s="70">
        <f>C1168/100*1</f>
        <v>1</v>
      </c>
      <c r="L1168" s="11">
        <f>C1168/100*0.04</f>
        <v>0.04</v>
      </c>
      <c r="M1168" s="19" t="s">
        <v>751</v>
      </c>
    </row>
    <row r="1169" spans="2:13">
      <c r="B1169" s="104" t="s">
        <v>917</v>
      </c>
      <c r="C1169" s="4">
        <v>100</v>
      </c>
      <c r="D1169" s="5">
        <f>C1169/100*301</f>
        <v>301</v>
      </c>
      <c r="E1169" s="11">
        <f>C1169/100*8.12</f>
        <v>8.1199999999999992</v>
      </c>
      <c r="F1169" s="11">
        <f>C1169/100*9.3</f>
        <v>9.3000000000000007</v>
      </c>
      <c r="G1169" s="11">
        <f>C1169/100*45.01</f>
        <v>45.01</v>
      </c>
      <c r="H1169" s="11">
        <f t="shared" si="55"/>
        <v>0</v>
      </c>
      <c r="I1169" s="70"/>
      <c r="J1169" s="70"/>
      <c r="K1169" s="70">
        <f>C1169/100*2.24</f>
        <v>2.2400000000000002</v>
      </c>
      <c r="L1169" s="11">
        <f>C1169/100*0.7621278</f>
        <v>0.76212780000000002</v>
      </c>
      <c r="M1169" s="19" t="s">
        <v>751</v>
      </c>
    </row>
    <row r="1170" spans="2:13">
      <c r="B1170" s="81" t="s">
        <v>734</v>
      </c>
      <c r="C1170" s="4">
        <v>100</v>
      </c>
      <c r="D1170" s="5">
        <f>C1170/100*12</f>
        <v>12</v>
      </c>
      <c r="E1170" s="11">
        <f>C1170/100*0.6</f>
        <v>0.6</v>
      </c>
      <c r="F1170" s="11">
        <f>C1170/100*0.1</f>
        <v>0.1</v>
      </c>
      <c r="G1170" s="11">
        <f>C1170/100*2.8</f>
        <v>2.8</v>
      </c>
      <c r="H1170" s="11">
        <f t="shared" si="55"/>
        <v>0</v>
      </c>
      <c r="I1170" s="70">
        <f>C1170/100*0.1</f>
        <v>0.1</v>
      </c>
      <c r="J1170" s="70">
        <f>C1170/100*1</f>
        <v>1</v>
      </c>
      <c r="K1170" s="70">
        <f>C1170/100*1.1</f>
        <v>1.1000000000000001</v>
      </c>
      <c r="L1170" s="11">
        <f>C1170/100*0</f>
        <v>0</v>
      </c>
      <c r="M1170" s="3">
        <v>6</v>
      </c>
    </row>
    <row r="1171" spans="2:13">
      <c r="B1171" s="104" t="s">
        <v>735</v>
      </c>
      <c r="C1171" s="4">
        <v>100</v>
      </c>
      <c r="D1171" s="5">
        <f>C1171/100*66</f>
        <v>66</v>
      </c>
      <c r="E1171" s="11">
        <f>C1171/100*1.9</f>
        <v>1.9</v>
      </c>
      <c r="F1171" s="11">
        <f>C1171/100*0.1</f>
        <v>0.1</v>
      </c>
      <c r="G1171" s="11">
        <f>C1171/100*15.5</f>
        <v>15.5</v>
      </c>
      <c r="H1171" s="11">
        <f t="shared" si="55"/>
        <v>0</v>
      </c>
      <c r="I1171" s="70">
        <f>C1171/100*0.2</f>
        <v>0.2</v>
      </c>
      <c r="J1171" s="70">
        <f>C1171/100*1.8</f>
        <v>1.8</v>
      </c>
      <c r="K1171" s="70">
        <f>C1171/100*2</f>
        <v>2</v>
      </c>
      <c r="L1171" s="11">
        <f>C1171/100*0.1</f>
        <v>0.1</v>
      </c>
      <c r="M1171" s="3">
        <v>1</v>
      </c>
    </row>
    <row r="1172" spans="2:13">
      <c r="B1172" s="104" t="s">
        <v>736</v>
      </c>
      <c r="C1172" s="4">
        <v>100</v>
      </c>
      <c r="D1172" s="5">
        <f>C1172/100*66</f>
        <v>66</v>
      </c>
      <c r="E1172" s="11">
        <f>C1172/100*1.3</f>
        <v>1.3</v>
      </c>
      <c r="F1172" s="11">
        <f>C1172/100*0.1</f>
        <v>0.1</v>
      </c>
      <c r="G1172" s="11">
        <f>C1172/100*16.1</f>
        <v>16.100000000000001</v>
      </c>
      <c r="H1172" s="11">
        <f t="shared" si="55"/>
        <v>0</v>
      </c>
      <c r="I1172" s="70">
        <f>C1172/100*0.2</f>
        <v>0.2</v>
      </c>
      <c r="J1172" s="70">
        <f>C1172/100*2.1</f>
        <v>2.1</v>
      </c>
      <c r="K1172" s="70">
        <f>C1172/100*2.3</f>
        <v>2.2999999999999998</v>
      </c>
      <c r="L1172" s="11">
        <f>C1172/100*0</f>
        <v>0</v>
      </c>
      <c r="M1172" s="3">
        <v>1</v>
      </c>
    </row>
    <row r="1173" spans="2:13">
      <c r="B1173" s="104" t="s">
        <v>737</v>
      </c>
      <c r="C1173" s="4">
        <v>36</v>
      </c>
      <c r="D1173" s="5">
        <f>C1173/100*35/0.36</f>
        <v>35</v>
      </c>
      <c r="E1173" s="11">
        <f>C1173/100*6.7/0.36</f>
        <v>6.7</v>
      </c>
      <c r="F1173" s="11">
        <f>C1173/100*0.9/0.36</f>
        <v>0.9</v>
      </c>
      <c r="G1173" s="11">
        <f>C1173/100*0/0.36</f>
        <v>0</v>
      </c>
      <c r="H1173" s="11">
        <f>C1173/100*14.4/0.36</f>
        <v>14.4</v>
      </c>
      <c r="I1173" s="70"/>
      <c r="J1173" s="70"/>
      <c r="K1173" s="70"/>
      <c r="L1173" s="11">
        <f>C1173/100*0.8897423/0.36</f>
        <v>0.88974229999999999</v>
      </c>
      <c r="M1173" s="3">
        <v>3</v>
      </c>
    </row>
    <row r="1174" spans="2:13">
      <c r="B1174" s="104" t="s">
        <v>1115</v>
      </c>
      <c r="C1174" s="4">
        <v>36</v>
      </c>
      <c r="D1174" s="5">
        <f>C1174/100*39/0.36</f>
        <v>39</v>
      </c>
      <c r="E1174" s="11">
        <f>C1174/100*7.1/0.36</f>
        <v>7.0999999999999988</v>
      </c>
      <c r="F1174" s="11">
        <f>C1174/100*1.05/0.36</f>
        <v>1.05</v>
      </c>
      <c r="G1174" s="11">
        <f>C1174/100*0/0.36</f>
        <v>0</v>
      </c>
      <c r="H1174" s="11">
        <f>C1174/100*14.4/0.36</f>
        <v>14.4</v>
      </c>
      <c r="I1174" s="70"/>
      <c r="J1174" s="70"/>
      <c r="K1174" s="70">
        <f>C1174/100*0/0.36</f>
        <v>0</v>
      </c>
      <c r="L1174" s="11">
        <f>C1174/100*1.3473241/0.36</f>
        <v>1.3473241</v>
      </c>
      <c r="M1174" s="3">
        <v>3</v>
      </c>
    </row>
    <row r="1175" spans="2:13">
      <c r="B1175" s="104" t="s">
        <v>738</v>
      </c>
      <c r="C1175" s="4">
        <v>38</v>
      </c>
      <c r="D1175" s="5">
        <f>C1175/100*39/0.38</f>
        <v>39</v>
      </c>
      <c r="E1175" s="11">
        <f>C1175/100*5.7/0.38</f>
        <v>5.7</v>
      </c>
      <c r="F1175" s="11">
        <f>C1175/100*0.9/0.38</f>
        <v>0.9</v>
      </c>
      <c r="G1175" s="11">
        <f>C1175/100*1.9/0.38</f>
        <v>1.9</v>
      </c>
      <c r="H1175" s="11">
        <f>C1175/100*15.2/0.38</f>
        <v>15.2</v>
      </c>
      <c r="I1175" s="70"/>
      <c r="J1175" s="70"/>
      <c r="K1175" s="70"/>
      <c r="L1175" s="11">
        <f>C1175/100*1.2/0.38</f>
        <v>1.2</v>
      </c>
      <c r="M1175" s="3">
        <v>3</v>
      </c>
    </row>
    <row r="1176" spans="2:13">
      <c r="B1176" s="104" t="s">
        <v>1245</v>
      </c>
      <c r="C1176" s="4">
        <v>60</v>
      </c>
      <c r="D1176" s="5">
        <f>C1176/100*88/0.6</f>
        <v>88</v>
      </c>
      <c r="E1176" s="11">
        <f>C1176/100*12.4/0.6</f>
        <v>12.4</v>
      </c>
      <c r="F1176" s="11">
        <f>C1176/100*3.3/0.6</f>
        <v>3.3</v>
      </c>
      <c r="G1176" s="11">
        <f>C1176/100*2.1/0.6</f>
        <v>2.1</v>
      </c>
      <c r="H1176" s="11">
        <f>C1176/100*24/0.6</f>
        <v>24</v>
      </c>
      <c r="I1176" s="70"/>
      <c r="J1176" s="70"/>
      <c r="K1176" s="70"/>
      <c r="L1176" s="11">
        <f>C1176/100*1.6/0.6</f>
        <v>1.6</v>
      </c>
      <c r="M1176" s="3">
        <v>3</v>
      </c>
    </row>
    <row r="1177" spans="2:13">
      <c r="B1177" s="104" t="s">
        <v>941</v>
      </c>
      <c r="C1177" s="4">
        <v>100</v>
      </c>
      <c r="D1177" s="5">
        <f>C1177/100*98</f>
        <v>98</v>
      </c>
      <c r="E1177" s="11">
        <f>C1177/100*15.4</f>
        <v>15.4</v>
      </c>
      <c r="F1177" s="11">
        <f>C1177/100*2.3</f>
        <v>2.2999999999999998</v>
      </c>
      <c r="G1177" s="11">
        <f>C1177/100*3.9</f>
        <v>3.9</v>
      </c>
      <c r="H1177" s="11">
        <f>C1177/100*40</f>
        <v>40</v>
      </c>
      <c r="I1177" s="70"/>
      <c r="J1177" s="70"/>
      <c r="K1177" s="70"/>
      <c r="L1177" s="11">
        <f>C1177/100*2.542121</f>
        <v>2.5421209999999999</v>
      </c>
      <c r="M1177" s="3">
        <v>3</v>
      </c>
    </row>
    <row r="1178" spans="2:13">
      <c r="B1178" s="104" t="s">
        <v>892</v>
      </c>
      <c r="C1178" s="4">
        <v>54</v>
      </c>
      <c r="D1178" s="5">
        <f>C1178/100*82/0.54</f>
        <v>82</v>
      </c>
      <c r="E1178" s="11">
        <f>C1178/100*10.9/0.54</f>
        <v>10.9</v>
      </c>
      <c r="F1178" s="11">
        <f>C1178/100*3.9/0.54</f>
        <v>3.8999999999999995</v>
      </c>
      <c r="G1178" s="11">
        <f>C1178/100*1/0.54</f>
        <v>1</v>
      </c>
      <c r="H1178" s="11">
        <f>C1178/100*21.6/0.54</f>
        <v>21.6</v>
      </c>
      <c r="I1178" s="70"/>
      <c r="J1178" s="70"/>
      <c r="K1178" s="70"/>
      <c r="L1178" s="11">
        <f>C1178/100*1.4057929/0.54</f>
        <v>1.4057929</v>
      </c>
      <c r="M1178" s="3">
        <v>3</v>
      </c>
    </row>
    <row r="1179" spans="2:13">
      <c r="B1179" s="104" t="s">
        <v>739</v>
      </c>
      <c r="C1179" s="4">
        <v>100</v>
      </c>
      <c r="D1179" s="5">
        <f>C1179/100*263</f>
        <v>263</v>
      </c>
      <c r="E1179" s="11">
        <f>C1179/100*5.23</f>
        <v>5.23</v>
      </c>
      <c r="F1179" s="11">
        <f>C1179/100*17.94</f>
        <v>17.940000000000001</v>
      </c>
      <c r="G1179" s="11">
        <f>C1179/100*19.49</f>
        <v>19.489999999999998</v>
      </c>
      <c r="H1179" s="11">
        <f t="shared" ref="H1179:H1189" si="56">C1179/100*0</f>
        <v>0</v>
      </c>
      <c r="I1179" s="70"/>
      <c r="J1179" s="70"/>
      <c r="K1179" s="70">
        <f>C1179/100*0.42</f>
        <v>0.42</v>
      </c>
      <c r="L1179" s="11">
        <f>C1179/100*0.16</f>
        <v>0.16</v>
      </c>
      <c r="M1179" s="19" t="s">
        <v>751</v>
      </c>
    </row>
    <row r="1180" spans="2:13">
      <c r="B1180" s="104" t="s">
        <v>1281</v>
      </c>
      <c r="C1180" s="4">
        <v>30</v>
      </c>
      <c r="D1180" s="5">
        <f>C1180/100*234/0.3</f>
        <v>234.00000000000003</v>
      </c>
      <c r="E1180" s="11">
        <f>C1180/100*2.93/0.3</f>
        <v>2.93</v>
      </c>
      <c r="F1180" s="11">
        <f>C1180/100*13.76/0.3</f>
        <v>13.760000000000002</v>
      </c>
      <c r="G1180" s="11">
        <f>C1180/100*23.94/0.3</f>
        <v>23.94</v>
      </c>
      <c r="H1180" s="11">
        <f t="shared" si="56"/>
        <v>0</v>
      </c>
      <c r="I1180" s="70"/>
      <c r="J1180" s="70"/>
      <c r="K1180" s="70">
        <f>C1180/100*0.24/0.3</f>
        <v>0.24</v>
      </c>
      <c r="L1180" s="11">
        <f>C1180/100*0.1/0.3</f>
        <v>0.1</v>
      </c>
      <c r="M1180" s="19" t="s">
        <v>751</v>
      </c>
    </row>
    <row r="1181" spans="2:13">
      <c r="B1181" s="104" t="s">
        <v>1282</v>
      </c>
      <c r="C1181" s="4">
        <v>100</v>
      </c>
      <c r="D1181" s="5">
        <f>C1181/100*375</f>
        <v>375</v>
      </c>
      <c r="E1181" s="11">
        <f>C1181/100*10.4</f>
        <v>10.4</v>
      </c>
      <c r="F1181" s="11">
        <f>C1181/100*6.4</f>
        <v>6.4</v>
      </c>
      <c r="G1181" s="11">
        <f>C1181/100*68.6</f>
        <v>68.599999999999994</v>
      </c>
      <c r="H1181" s="11">
        <f t="shared" si="56"/>
        <v>0</v>
      </c>
      <c r="I1181" s="70"/>
      <c r="J1181" s="70"/>
      <c r="K1181" s="70">
        <f>C1181/100*5</f>
        <v>5</v>
      </c>
      <c r="L1181" s="11">
        <f>C1181/100*0.1372743</f>
        <v>0.13727429999999999</v>
      </c>
      <c r="M1181" s="19" t="s">
        <v>751</v>
      </c>
    </row>
    <row r="1182" spans="2:13">
      <c r="B1182" s="104" t="s">
        <v>1283</v>
      </c>
      <c r="C1182" s="4">
        <v>120</v>
      </c>
      <c r="D1182" s="5">
        <f>C1182/100*534/1.2</f>
        <v>534</v>
      </c>
      <c r="E1182" s="11">
        <f>C1182/100*16/1.2</f>
        <v>16</v>
      </c>
      <c r="F1182" s="11">
        <f>C1182/100*18/1.2</f>
        <v>18</v>
      </c>
      <c r="G1182" s="11">
        <f>C1182/100*80.2/1.2</f>
        <v>80.2</v>
      </c>
      <c r="H1182" s="11">
        <f t="shared" si="56"/>
        <v>0</v>
      </c>
      <c r="I1182" s="70"/>
      <c r="J1182" s="70"/>
      <c r="K1182" s="70"/>
      <c r="L1182" s="70"/>
      <c r="M1182" s="19" t="s">
        <v>751</v>
      </c>
    </row>
    <row r="1183" spans="2:13">
      <c r="B1183" s="81" t="s">
        <v>943</v>
      </c>
      <c r="C1183" s="4">
        <v>100</v>
      </c>
      <c r="D1183" s="5">
        <f>C1183/100*16</f>
        <v>16</v>
      </c>
      <c r="E1183" s="11">
        <f>C1183/100*1.9</f>
        <v>1.9</v>
      </c>
      <c r="F1183" s="11">
        <f>C1183/100*0.2</f>
        <v>0.2</v>
      </c>
      <c r="G1183" s="11">
        <f>C1183/100*5.6</f>
        <v>5.6</v>
      </c>
      <c r="H1183" s="11">
        <f t="shared" si="56"/>
        <v>0</v>
      </c>
      <c r="I1183" s="70"/>
      <c r="J1183" s="70"/>
      <c r="K1183" s="70">
        <f>C1183/100*3.6</f>
        <v>3.6</v>
      </c>
      <c r="L1183" s="11">
        <f>C1183/100*1.5</f>
        <v>1.5</v>
      </c>
      <c r="M1183" s="3">
        <v>6</v>
      </c>
    </row>
    <row r="1184" spans="2:13">
      <c r="B1184" s="90" t="s">
        <v>740</v>
      </c>
      <c r="C1184" s="4">
        <v>115</v>
      </c>
      <c r="D1184" s="5">
        <f>C1184/100*20/1.15</f>
        <v>20</v>
      </c>
      <c r="E1184" s="11">
        <f>C1184/100*1.64/1.15</f>
        <v>1.64</v>
      </c>
      <c r="F1184" s="11">
        <f>C1184/100*0.48/1.15</f>
        <v>0.48</v>
      </c>
      <c r="G1184" s="11">
        <f>C1184/100*3.19/1.15</f>
        <v>3.19</v>
      </c>
      <c r="H1184" s="11">
        <f t="shared" si="56"/>
        <v>0</v>
      </c>
      <c r="I1184" s="70"/>
      <c r="J1184" s="70"/>
      <c r="K1184" s="70">
        <f>C1184/100*1.09/1.15</f>
        <v>1.0900000000000001</v>
      </c>
      <c r="L1184" s="11">
        <f>C1184/100*1.48/1.15</f>
        <v>1.48</v>
      </c>
      <c r="M1184" s="19" t="s">
        <v>751</v>
      </c>
    </row>
    <row r="1185" spans="2:13">
      <c r="B1185" s="104" t="s">
        <v>1042</v>
      </c>
      <c r="C1185" s="4">
        <v>100</v>
      </c>
      <c r="D1185" s="5">
        <f>C1185/100*498</f>
        <v>498</v>
      </c>
      <c r="E1185" s="11">
        <f>C1185/100*11.7</f>
        <v>11.7</v>
      </c>
      <c r="F1185" s="11">
        <f>C1185/100*47.5</f>
        <v>47.5</v>
      </c>
      <c r="G1185" s="11">
        <f>C1185/100*0.3</f>
        <v>0.3</v>
      </c>
      <c r="H1185" s="11">
        <f t="shared" si="56"/>
        <v>0</v>
      </c>
      <c r="I1185" s="70"/>
      <c r="J1185" s="70"/>
      <c r="K1185" s="70"/>
      <c r="L1185" s="11">
        <f>C1185/100*0.1</f>
        <v>0.1</v>
      </c>
      <c r="M1185" s="3">
        <v>3</v>
      </c>
    </row>
    <row r="1186" spans="2:13">
      <c r="B1186" s="104" t="s">
        <v>741</v>
      </c>
      <c r="C1186" s="4">
        <v>100</v>
      </c>
      <c r="D1186" s="5">
        <f>C1186/100*265</f>
        <v>265</v>
      </c>
      <c r="E1186" s="11">
        <f>C1186/100*3.3</f>
        <v>3.3</v>
      </c>
      <c r="F1186" s="11">
        <f>C1186/100*10.3</f>
        <v>10.3</v>
      </c>
      <c r="G1186" s="11">
        <f>C1186/100*39.8</f>
        <v>39.799999999999997</v>
      </c>
      <c r="H1186" s="11">
        <f t="shared" si="56"/>
        <v>0</v>
      </c>
      <c r="I1186" s="70"/>
      <c r="J1186" s="70"/>
      <c r="K1186" s="70"/>
      <c r="L1186" s="11">
        <f>C1186/100*6.1010904</f>
        <v>6.1010904000000004</v>
      </c>
      <c r="M1186" s="19" t="s">
        <v>750</v>
      </c>
    </row>
    <row r="1187" spans="2:13">
      <c r="B1187" s="104" t="s">
        <v>882</v>
      </c>
      <c r="C1187" s="4">
        <v>100</v>
      </c>
      <c r="D1187" s="5">
        <f>C1187/100*41.5</f>
        <v>41.5</v>
      </c>
      <c r="E1187" s="11">
        <f>C1187/100*0.65</f>
        <v>0.65</v>
      </c>
      <c r="F1187" s="11">
        <f>C1187/100*0.2</f>
        <v>0.2</v>
      </c>
      <c r="G1187" s="11">
        <f>C1187/100*10.45</f>
        <v>10.45</v>
      </c>
      <c r="H1187" s="11">
        <f t="shared" si="56"/>
        <v>0</v>
      </c>
      <c r="I1187" s="70">
        <f>C1187/100*0.65</f>
        <v>0.65</v>
      </c>
      <c r="J1187" s="70">
        <f>C1187/100*0.85</f>
        <v>0.85</v>
      </c>
      <c r="K1187" s="70">
        <f>C1187/100*1.5</f>
        <v>1.5</v>
      </c>
      <c r="L1187" s="11">
        <f>C1187/100*0</f>
        <v>0</v>
      </c>
      <c r="M1187" s="3">
        <v>2</v>
      </c>
    </row>
    <row r="1188" spans="2:13">
      <c r="B1188" s="104" t="s">
        <v>742</v>
      </c>
      <c r="C1188" s="4">
        <v>100</v>
      </c>
      <c r="D1188" s="5">
        <f>C1188/100*21</f>
        <v>21</v>
      </c>
      <c r="E1188" s="11">
        <f>C1188/100*2.4</f>
        <v>2.4</v>
      </c>
      <c r="F1188" s="11">
        <f>C1188/100*0.1</f>
        <v>0.1</v>
      </c>
      <c r="G1188" s="11">
        <f>C1188/100*4</f>
        <v>4</v>
      </c>
      <c r="H1188" s="11">
        <f t="shared" si="56"/>
        <v>0</v>
      </c>
      <c r="I1188" s="70">
        <f>C1188/100*0.8</f>
        <v>0.8</v>
      </c>
      <c r="J1188" s="70">
        <f>C1188/100*2.8</f>
        <v>2.8</v>
      </c>
      <c r="K1188" s="70">
        <f>C1188/100*3.6</f>
        <v>3.6</v>
      </c>
      <c r="L1188" s="11">
        <f>C1188/100*0</f>
        <v>0</v>
      </c>
      <c r="M1188" s="3">
        <v>6</v>
      </c>
    </row>
    <row r="1189" spans="2:13">
      <c r="B1189" s="104" t="s">
        <v>743</v>
      </c>
      <c r="C1189" s="4">
        <v>100</v>
      </c>
      <c r="D1189" s="5">
        <f>C1189/100*15</f>
        <v>15</v>
      </c>
      <c r="E1189" s="11">
        <f>C1189/100*1.5</f>
        <v>1.5</v>
      </c>
      <c r="F1189" s="11">
        <f>C1189/100*0.1</f>
        <v>0.1</v>
      </c>
      <c r="G1189" s="11">
        <f>C1189/100*3</f>
        <v>3</v>
      </c>
      <c r="H1189" s="11">
        <f t="shared" si="56"/>
        <v>0</v>
      </c>
      <c r="I1189" s="70">
        <f>C1189/100*0.5</f>
        <v>0.5</v>
      </c>
      <c r="J1189" s="70">
        <f>C1189/100*2.5</f>
        <v>2.5</v>
      </c>
      <c r="K1189" s="70">
        <f>C1189/100*3</f>
        <v>3</v>
      </c>
      <c r="L1189" s="11">
        <f>C1189/100*0</f>
        <v>0</v>
      </c>
      <c r="M1189" s="3">
        <v>6</v>
      </c>
    </row>
    <row r="1190" spans="2:13">
      <c r="B1190" s="81" t="s">
        <v>1146</v>
      </c>
      <c r="C1190" s="4">
        <v>100</v>
      </c>
      <c r="D1190" s="5">
        <f>C1190/100*208.59</f>
        <v>208.59</v>
      </c>
      <c r="E1190" s="11">
        <f>C1190/100*14.27</f>
        <v>14.27</v>
      </c>
      <c r="F1190" s="11">
        <f>C1190/100*11.87</f>
        <v>11.87</v>
      </c>
      <c r="G1190" s="11">
        <f>C1190/100*9.15</f>
        <v>9.15</v>
      </c>
      <c r="H1190" s="11">
        <f>C1190/100*483.91</f>
        <v>483.91</v>
      </c>
      <c r="I1190" s="70">
        <f>C1190/100*0</f>
        <v>0</v>
      </c>
      <c r="J1190" s="70">
        <f>C1190/100*0</f>
        <v>0</v>
      </c>
      <c r="K1190" s="70">
        <f>C1190/100*0</f>
        <v>0</v>
      </c>
      <c r="L1190" s="11">
        <f>C1190/100*0.63</f>
        <v>0.63</v>
      </c>
      <c r="M1190" s="3">
        <v>3</v>
      </c>
    </row>
    <row r="1191" spans="2:13">
      <c r="B1191" s="81" t="s">
        <v>1137</v>
      </c>
      <c r="C1191" s="4">
        <v>100</v>
      </c>
      <c r="D1191" s="5">
        <f>C1191/100*122.39</f>
        <v>122.39</v>
      </c>
      <c r="E1191" s="11">
        <f>C1191/100*8.71</f>
        <v>8.7100000000000009</v>
      </c>
      <c r="F1191" s="11">
        <f>C1191/100*0.73</f>
        <v>0.73</v>
      </c>
      <c r="G1191" s="11">
        <f>C1191/100*20.03</f>
        <v>20.03</v>
      </c>
      <c r="H1191" s="11">
        <f t="shared" ref="H1191:H1192" si="57">C1191/100*0</f>
        <v>0</v>
      </c>
      <c r="I1191" s="70">
        <f>C1191/100*0.47</f>
        <v>0.47</v>
      </c>
      <c r="J1191" s="70">
        <f>C1191/100*6.23</f>
        <v>6.23</v>
      </c>
      <c r="K1191" s="70">
        <f>C1191/100*6.7</f>
        <v>6.7</v>
      </c>
      <c r="L1191" s="11">
        <f t="shared" ref="L1191:L1192" si="58">C1191/100*0</f>
        <v>0</v>
      </c>
      <c r="M1191" s="3">
        <v>3</v>
      </c>
    </row>
    <row r="1192" spans="2:13">
      <c r="B1192" s="81" t="s">
        <v>1284</v>
      </c>
      <c r="C1192" s="4">
        <v>100</v>
      </c>
      <c r="D1192" s="5">
        <f>C1192/100*371</f>
        <v>371</v>
      </c>
      <c r="E1192" s="11">
        <f>C1192/100*14.4</f>
        <v>14.4</v>
      </c>
      <c r="F1192" s="11">
        <f>C1192/100*8.2</f>
        <v>8.1999999999999993</v>
      </c>
      <c r="G1192" s="11">
        <v>63.2</v>
      </c>
      <c r="H1192" s="11">
        <f t="shared" si="57"/>
        <v>0</v>
      </c>
      <c r="I1192" s="70"/>
      <c r="J1192" s="70"/>
      <c r="K1192" s="70">
        <v>6.7</v>
      </c>
      <c r="L1192" s="11">
        <f t="shared" si="58"/>
        <v>0</v>
      </c>
      <c r="M1192" s="19" t="s">
        <v>751</v>
      </c>
    </row>
    <row r="1193" spans="2:13">
      <c r="B1193" s="81" t="s">
        <v>1286</v>
      </c>
      <c r="C1193" s="24">
        <v>75</v>
      </c>
      <c r="D1193" s="5">
        <f>C1193/100*136/0.75</f>
        <v>136</v>
      </c>
      <c r="E1193" s="11">
        <f>C1193/100*2.8/0.75</f>
        <v>2.7999999999999994</v>
      </c>
      <c r="F1193" s="11">
        <f>C1193/100*1/0.75</f>
        <v>1</v>
      </c>
      <c r="G1193" s="11">
        <f>C1193/100*31/0.75</f>
        <v>31</v>
      </c>
      <c r="H1193" s="11">
        <f>C1193/100*0/0.75</f>
        <v>0</v>
      </c>
      <c r="I1193" s="70"/>
      <c r="J1193" s="70"/>
      <c r="K1193" s="70">
        <f>C1193/100*4.2/0.75</f>
        <v>4.2</v>
      </c>
      <c r="L1193" s="11">
        <f>C1193/100*0/0.75</f>
        <v>0</v>
      </c>
      <c r="M1193" s="19" t="s">
        <v>751</v>
      </c>
    </row>
    <row r="1194" spans="2:13">
      <c r="B1194" s="81" t="s">
        <v>1287</v>
      </c>
      <c r="C1194" s="24">
        <v>62</v>
      </c>
      <c r="D1194" s="5">
        <f>C1194/100*102/0.62</f>
        <v>102</v>
      </c>
      <c r="E1194" s="11">
        <f>C1194/100*1.9/0.62</f>
        <v>1.9</v>
      </c>
      <c r="F1194" s="11">
        <f>C1194/100*0.2/0.62</f>
        <v>0.2</v>
      </c>
      <c r="G1194" s="11">
        <f>C1194/100*23.2/0.62</f>
        <v>23.2</v>
      </c>
      <c r="H1194" s="11">
        <f>C1194/100*0/0.62</f>
        <v>0</v>
      </c>
      <c r="I1194" s="70"/>
      <c r="J1194" s="70"/>
      <c r="K1194" s="70">
        <f>C1194/100*0.1/0.62</f>
        <v>0.1</v>
      </c>
      <c r="L1194" s="11">
        <f>C1194/100*0.043216/0.62</f>
        <v>4.3215999999999997E-2</v>
      </c>
      <c r="M1194" s="19" t="s">
        <v>751</v>
      </c>
    </row>
    <row r="1195" spans="2:13">
      <c r="B1195" s="81" t="s">
        <v>1288</v>
      </c>
      <c r="C1195" s="24">
        <v>100</v>
      </c>
      <c r="D1195" s="5">
        <f>C1195/100*481</f>
        <v>481</v>
      </c>
      <c r="E1195" s="11">
        <f>C1195/100*4.59</f>
        <v>4.59</v>
      </c>
      <c r="F1195" s="11">
        <f>C1195/100*23.87</f>
        <v>23.87</v>
      </c>
      <c r="G1195" s="11">
        <f>C1195/100*58.45</f>
        <v>58.45</v>
      </c>
      <c r="H1195" s="11">
        <f t="shared" ref="H1195:H1204" si="59">C1195/100*0</f>
        <v>0</v>
      </c>
      <c r="I1195" s="70"/>
      <c r="J1195" s="70"/>
      <c r="K1195" s="70">
        <f>C1195/100*1.38</f>
        <v>1.38</v>
      </c>
      <c r="L1195" s="11">
        <f>C1195/100*0.55</f>
        <v>0.55000000000000004</v>
      </c>
      <c r="M1195" s="19" t="s">
        <v>751</v>
      </c>
    </row>
    <row r="1196" spans="2:13">
      <c r="B1196" s="81" t="s">
        <v>1289</v>
      </c>
      <c r="C1196" s="24">
        <v>100</v>
      </c>
      <c r="D1196" s="5">
        <f>C1196/100*489</f>
        <v>489</v>
      </c>
      <c r="E1196" s="11">
        <f>C1196/100*8.7</f>
        <v>8.6999999999999993</v>
      </c>
      <c r="F1196" s="11">
        <f>C1196/100*20.5</f>
        <v>20.5</v>
      </c>
      <c r="G1196" s="11">
        <f>C1196/100*67.5</f>
        <v>67.5</v>
      </c>
      <c r="H1196" s="11">
        <f t="shared" si="59"/>
        <v>0</v>
      </c>
      <c r="I1196" s="70"/>
      <c r="J1196" s="70"/>
      <c r="K1196" s="70">
        <f>C1196/100*0.15</f>
        <v>0.15</v>
      </c>
      <c r="L1196" s="11">
        <f>C1196/100*1.0371853</f>
        <v>1.0371853</v>
      </c>
      <c r="M1196" s="19" t="s">
        <v>751</v>
      </c>
    </row>
    <row r="1197" spans="2:13">
      <c r="B1197" s="81" t="s">
        <v>1290</v>
      </c>
      <c r="C1197" s="24">
        <v>100</v>
      </c>
      <c r="D1197" s="5">
        <f>C1197/100*344</f>
        <v>344</v>
      </c>
      <c r="E1197" s="11">
        <f>C1197/100*14.8</f>
        <v>14.8</v>
      </c>
      <c r="F1197" s="11">
        <f>C1197/100*2.3</f>
        <v>2.2999999999999998</v>
      </c>
      <c r="G1197" s="11">
        <f>C1197/100*66.1</f>
        <v>66.099999999999994</v>
      </c>
      <c r="H1197" s="11">
        <f t="shared" si="59"/>
        <v>0</v>
      </c>
      <c r="I1197" s="70"/>
      <c r="J1197" s="70"/>
      <c r="K1197" s="70">
        <f>C1197/100*0.15</f>
        <v>0.15</v>
      </c>
      <c r="L1197" s="11">
        <f>C1197/100*2.4073885*0.1</f>
        <v>0.24073885000000003</v>
      </c>
      <c r="M1197" s="19">
        <v>1</v>
      </c>
    </row>
    <row r="1198" spans="2:13">
      <c r="B1198" s="81" t="s">
        <v>1291</v>
      </c>
      <c r="C1198" s="24">
        <v>303</v>
      </c>
      <c r="D1198" s="5">
        <f>C1198/100*194/3.03</f>
        <v>194</v>
      </c>
      <c r="E1198" s="11">
        <f>C1198/100*12.9/3.03</f>
        <v>12.9</v>
      </c>
      <c r="F1198" s="11">
        <f>C1198/100*7.3/3.03</f>
        <v>7.3000000000000007</v>
      </c>
      <c r="G1198" s="11">
        <f>C1198/100*19.2/3.03</f>
        <v>19.2</v>
      </c>
      <c r="H1198" s="11">
        <f>C1198/100*0/3.03</f>
        <v>0</v>
      </c>
      <c r="I1198" s="70"/>
      <c r="J1198" s="70"/>
      <c r="K1198" s="70">
        <f>C1198/100*0.05/3.03</f>
        <v>0.05</v>
      </c>
      <c r="L1198" s="11">
        <f>C1198/100*8.1347872/3.03</f>
        <v>8.1347871999999999</v>
      </c>
      <c r="M1198" s="19" t="s">
        <v>751</v>
      </c>
    </row>
    <row r="1199" spans="2:13">
      <c r="B1199" s="81" t="s">
        <v>1292</v>
      </c>
      <c r="C1199" s="24">
        <v>100</v>
      </c>
      <c r="D1199" s="5">
        <f>C1199/100*550</f>
        <v>550</v>
      </c>
      <c r="E1199" s="11">
        <f>C1199/100*8.6</f>
        <v>8.6</v>
      </c>
      <c r="F1199" s="11">
        <f>C1199/100*37.1</f>
        <v>37.1</v>
      </c>
      <c r="G1199" s="11">
        <f>C1199/100*45.4</f>
        <v>45.4</v>
      </c>
      <c r="H1199" s="11">
        <f t="shared" ref="H1199:H1203" si="60">C1199/100*0</f>
        <v>0</v>
      </c>
      <c r="I1199" s="70"/>
      <c r="J1199" s="70"/>
      <c r="K1199" s="70"/>
      <c r="L1199" s="11">
        <f>C1199/100*0.147443</f>
        <v>0.14744299999999999</v>
      </c>
      <c r="M1199" s="19" t="s">
        <v>751</v>
      </c>
    </row>
    <row r="1200" spans="2:13">
      <c r="B1200" s="81" t="s">
        <v>1293</v>
      </c>
      <c r="C1200" s="24">
        <v>100</v>
      </c>
      <c r="D1200" s="5">
        <f>C1200/100*293</f>
        <v>293</v>
      </c>
      <c r="E1200" s="11">
        <f>C1200/100*7.9</f>
        <v>7.9</v>
      </c>
      <c r="F1200" s="11">
        <f>C1200/100*1.1</f>
        <v>1.1000000000000001</v>
      </c>
      <c r="G1200" s="11">
        <f>C1200/100*62.8</f>
        <v>62.8</v>
      </c>
      <c r="H1200" s="11">
        <f t="shared" si="60"/>
        <v>0</v>
      </c>
      <c r="I1200" s="70"/>
      <c r="J1200" s="70"/>
      <c r="K1200" s="70"/>
      <c r="L1200" s="11">
        <f>C1200/100*4.3216054*0.2</f>
        <v>0.86432108000000007</v>
      </c>
      <c r="M1200" s="19">
        <v>1</v>
      </c>
    </row>
    <row r="1201" spans="2:13">
      <c r="B1201" s="81" t="s">
        <v>1294</v>
      </c>
      <c r="C1201" s="24">
        <v>6.7</v>
      </c>
      <c r="D1201" s="5">
        <f>C1201/100*36/0.067</f>
        <v>36</v>
      </c>
      <c r="E1201" s="11">
        <f>C1201/100*0.3/0.067</f>
        <v>0.3</v>
      </c>
      <c r="F1201" s="11">
        <f>C1201/100*2/0.067</f>
        <v>2</v>
      </c>
      <c r="G1201" s="11">
        <f>C1201/100*4.2/0.067</f>
        <v>4.2</v>
      </c>
      <c r="H1201" s="11">
        <f>C1201/100*0/0.067</f>
        <v>0</v>
      </c>
      <c r="I1201" s="70"/>
      <c r="J1201" s="70"/>
      <c r="K1201" s="70"/>
      <c r="L1201" s="11">
        <f>C1201/100*0.0779633/0.067</f>
        <v>7.7963299999999999E-2</v>
      </c>
      <c r="M1201" s="19" t="s">
        <v>751</v>
      </c>
    </row>
    <row r="1202" spans="2:13">
      <c r="B1202" s="81" t="s">
        <v>1295</v>
      </c>
      <c r="C1202" s="24">
        <v>100</v>
      </c>
      <c r="D1202" s="5">
        <f>C1202/100*31</f>
        <v>31</v>
      </c>
      <c r="E1202" s="11">
        <f>C1202/100*2.6</f>
        <v>2.6</v>
      </c>
      <c r="F1202" s="11">
        <f>C1202/100*0.06</f>
        <v>0.06</v>
      </c>
      <c r="G1202" s="11">
        <f>C1202/100*5.7</f>
        <v>5.7</v>
      </c>
      <c r="H1202" s="11">
        <f t="shared" si="60"/>
        <v>0</v>
      </c>
      <c r="I1202" s="70">
        <f>C1202/100*0.8</f>
        <v>0.8</v>
      </c>
      <c r="J1202" s="70">
        <f>C1202/100*3.5</f>
        <v>3.5</v>
      </c>
      <c r="K1202" s="70">
        <f>C1202/100*4.3</f>
        <v>4.3</v>
      </c>
      <c r="L1202" s="11">
        <f t="shared" ref="L1202" si="61">C1202/100*0</f>
        <v>0</v>
      </c>
      <c r="M1202" s="19">
        <v>6</v>
      </c>
    </row>
    <row r="1203" spans="2:13">
      <c r="B1203" s="81" t="s">
        <v>1296</v>
      </c>
      <c r="C1203" s="24">
        <v>100</v>
      </c>
      <c r="D1203" s="5">
        <f>C1203/100*538</f>
        <v>538</v>
      </c>
      <c r="E1203" s="11">
        <f>C1203/100*20.9</f>
        <v>20.9</v>
      </c>
      <c r="F1203" s="11">
        <f>C1203/100*41</f>
        <v>41</v>
      </c>
      <c r="G1203" s="11">
        <f>C1203/100*30.7</f>
        <v>30.7</v>
      </c>
      <c r="H1203" s="11">
        <f t="shared" si="60"/>
        <v>0</v>
      </c>
      <c r="I1203" s="70"/>
      <c r="J1203" s="70"/>
      <c r="K1203" s="70">
        <f>C1203/100*18.6</f>
        <v>18.600000000000001</v>
      </c>
      <c r="L1203" s="11">
        <f>C1203/100*0.1703221</f>
        <v>0.1703221</v>
      </c>
      <c r="M1203" s="19" t="s">
        <v>751</v>
      </c>
    </row>
    <row r="1204" spans="2:13">
      <c r="B1204" s="81" t="s">
        <v>1297</v>
      </c>
      <c r="C1204" s="24">
        <v>100</v>
      </c>
      <c r="D1204" s="5">
        <f>C1204/100*332</f>
        <v>332</v>
      </c>
      <c r="E1204" s="11">
        <f>C1204/100*1.4</f>
        <v>1.4</v>
      </c>
      <c r="F1204" s="11">
        <f>C1204/100*0.8</f>
        <v>0.8</v>
      </c>
      <c r="G1204" s="11">
        <f>C1204/100*83.5</f>
        <v>83.5</v>
      </c>
      <c r="H1204" s="11">
        <f t="shared" si="59"/>
        <v>0</v>
      </c>
      <c r="I1204" s="70"/>
      <c r="J1204" s="70"/>
      <c r="K1204" s="70">
        <f>C1204/100*7.6</f>
        <v>7.6</v>
      </c>
      <c r="L1204" s="11">
        <f>C1204/100*2.2396086</f>
        <v>2.2396085999999999</v>
      </c>
      <c r="M1204" s="19">
        <v>1</v>
      </c>
    </row>
    <row r="1205" spans="2:13">
      <c r="B1205" s="81" t="s">
        <v>1298</v>
      </c>
      <c r="C1205" s="24">
        <v>80</v>
      </c>
      <c r="D1205" s="5">
        <f>C1205/100*270/0.8</f>
        <v>270</v>
      </c>
      <c r="E1205" s="11">
        <f>C1205/100*2.6/0.8</f>
        <v>2.6</v>
      </c>
      <c r="F1205" s="11">
        <f>C1205/100*0/0.8</f>
        <v>0</v>
      </c>
      <c r="G1205" s="11">
        <f>C1205/100*64.3/0.8</f>
        <v>64.3</v>
      </c>
      <c r="H1205" s="11">
        <f>C1205/100*0/0.8</f>
        <v>0</v>
      </c>
      <c r="I1205" s="70"/>
      <c r="J1205" s="70"/>
      <c r="K1205" s="70"/>
      <c r="L1205" s="11">
        <f>C1205/100*0.02/0.8</f>
        <v>0.02</v>
      </c>
      <c r="M1205" s="19" t="s">
        <v>751</v>
      </c>
    </row>
    <row r="1206" spans="2:13">
      <c r="B1206" s="81" t="s">
        <v>1299</v>
      </c>
      <c r="C1206" s="24">
        <v>176</v>
      </c>
      <c r="D1206" s="5">
        <f>C1206/100*583/1.76</f>
        <v>583</v>
      </c>
      <c r="E1206" s="11">
        <f>C1206/100*11.1/1.76</f>
        <v>11.099999999999998</v>
      </c>
      <c r="F1206" s="11">
        <f>C1206/100*2.3/1.76</f>
        <v>2.2999999999999998</v>
      </c>
      <c r="G1206" s="11">
        <f>C1206/100*129.2/1.76</f>
        <v>129.19999999999999</v>
      </c>
      <c r="H1206" s="11">
        <f>C1206/100*0/1.76</f>
        <v>0</v>
      </c>
      <c r="I1206" s="70"/>
      <c r="J1206" s="70"/>
      <c r="K1206" s="70"/>
      <c r="L1206" s="11">
        <f>C1206/100*0.36/1.76</f>
        <v>0.36</v>
      </c>
      <c r="M1206" s="19" t="s">
        <v>751</v>
      </c>
    </row>
    <row r="1207" spans="2:13">
      <c r="B1207" s="81" t="s">
        <v>1300</v>
      </c>
      <c r="C1207" s="24">
        <v>15</v>
      </c>
      <c r="D1207" s="5">
        <f>C1207/100*11/0.15</f>
        <v>11</v>
      </c>
      <c r="E1207" s="11">
        <f>C1207/100*0.8/0.15</f>
        <v>0.8</v>
      </c>
      <c r="F1207" s="11">
        <f>C1207/100*0/0.15</f>
        <v>0</v>
      </c>
      <c r="G1207" s="11">
        <f>C1207/100*6.8/0.15</f>
        <v>6.8000000000000007</v>
      </c>
      <c r="H1207" s="11">
        <f>C1207/100*0/0.15</f>
        <v>0</v>
      </c>
      <c r="I1207" s="70"/>
      <c r="J1207" s="70"/>
      <c r="K1207" s="70"/>
      <c r="L1207" s="11">
        <f>C1207/100*1.7540634/0.15</f>
        <v>1.7540633999999999</v>
      </c>
      <c r="M1207" s="3" t="s">
        <v>747</v>
      </c>
    </row>
    <row r="1208" spans="2:13">
      <c r="B1208" s="81" t="s">
        <v>1301</v>
      </c>
      <c r="C1208" s="24">
        <v>12</v>
      </c>
      <c r="D1208" s="5">
        <f>C1208/100*37/0.12</f>
        <v>37</v>
      </c>
      <c r="E1208" s="11">
        <f>C1208/100*0.6/0.12</f>
        <v>0.6</v>
      </c>
      <c r="F1208" s="11">
        <f>C1208/100*0.1/0.12</f>
        <v>0.1</v>
      </c>
      <c r="G1208" s="11">
        <f>C1208/100*8.8/0.12</f>
        <v>8.8000000000000007</v>
      </c>
      <c r="H1208" s="11">
        <f>C1208/100*0/0.12</f>
        <v>0</v>
      </c>
      <c r="I1208" s="70"/>
      <c r="J1208" s="70"/>
      <c r="K1208" s="70">
        <f>C1208/100*0.6/0.12</f>
        <v>0.6</v>
      </c>
      <c r="L1208" s="11">
        <f>C1208/100*0.00104226/0.12</f>
        <v>1.0422599999999999E-3</v>
      </c>
      <c r="M1208" s="19" t="s">
        <v>751</v>
      </c>
    </row>
    <row r="1209" spans="2:13">
      <c r="B1209" s="81" t="s">
        <v>1302</v>
      </c>
      <c r="C1209" s="24">
        <v>100</v>
      </c>
      <c r="D1209" s="5">
        <f>C1209/100*476</f>
        <v>476</v>
      </c>
      <c r="E1209" s="11">
        <f>C1209/100*4.6</f>
        <v>4.5999999999999996</v>
      </c>
      <c r="F1209" s="11">
        <f>C1209/100*19.6</f>
        <v>19.600000000000001</v>
      </c>
      <c r="G1209" s="11">
        <f>C1209/100*70.3</f>
        <v>70.3</v>
      </c>
      <c r="H1209" s="11">
        <f t="shared" ref="H1209:H1210" si="62">C1209/100*0</f>
        <v>0</v>
      </c>
      <c r="I1209" s="70"/>
      <c r="J1209" s="70"/>
      <c r="K1209" s="70">
        <f>C1209/100*5.5</f>
        <v>5.5</v>
      </c>
      <c r="L1209" s="11">
        <f>C1209/100*0.0427076</f>
        <v>4.2707599999999998E-2</v>
      </c>
      <c r="M1209" s="19" t="s">
        <v>751</v>
      </c>
    </row>
    <row r="1210" spans="2:13">
      <c r="B1210" s="81" t="s">
        <v>1303</v>
      </c>
      <c r="C1210" s="24">
        <v>100</v>
      </c>
      <c r="D1210" s="5">
        <f>C1210/100*468</f>
        <v>468</v>
      </c>
      <c r="E1210" s="11">
        <f>C1210/100*1.5</f>
        <v>1.5</v>
      </c>
      <c r="F1210" s="11">
        <f>C1210/100*16.3</f>
        <v>16.3</v>
      </c>
      <c r="G1210" s="11">
        <f>C1210/100*77.8</f>
        <v>77.8</v>
      </c>
      <c r="H1210" s="11">
        <f t="shared" si="62"/>
        <v>0</v>
      </c>
      <c r="I1210" s="70"/>
      <c r="J1210" s="70"/>
      <c r="K1210" s="70">
        <f>C1210/100*1.1</f>
        <v>1.1000000000000001</v>
      </c>
      <c r="L1210" s="11">
        <f>C1210/100*0.0213538</f>
        <v>2.1353799999999999E-2</v>
      </c>
      <c r="M1210" s="19" t="s">
        <v>751</v>
      </c>
    </row>
    <row r="1211" spans="2:13">
      <c r="B1211" s="81" t="s">
        <v>69</v>
      </c>
      <c r="C1211" s="24">
        <v>100</v>
      </c>
      <c r="D1211" s="5">
        <f>C1211/100*498</f>
        <v>498</v>
      </c>
      <c r="E1211" s="11">
        <f>C1211/100*8.1</f>
        <v>8.1</v>
      </c>
      <c r="F1211" s="11">
        <f>C1211/100*23.9</f>
        <v>23.9</v>
      </c>
      <c r="G1211" s="11">
        <f>C1211/100*68.7</f>
        <v>68.7</v>
      </c>
      <c r="H1211" s="11">
        <f>C1211/100*0</f>
        <v>0</v>
      </c>
      <c r="I1211" s="70"/>
      <c r="J1211" s="70"/>
      <c r="K1211" s="70">
        <f>C1211/100*3.4</f>
        <v>3.4</v>
      </c>
      <c r="L1211" s="11">
        <f>C1211/100*0.0419449</f>
        <v>4.19449E-2</v>
      </c>
      <c r="M1211" s="19" t="s">
        <v>751</v>
      </c>
    </row>
    <row r="1212" spans="2:13">
      <c r="B1212" s="81" t="s">
        <v>1304</v>
      </c>
      <c r="C1212" s="24">
        <v>100</v>
      </c>
      <c r="D1212" s="5">
        <f>C1212/100*250</f>
        <v>250</v>
      </c>
      <c r="E1212" s="11">
        <f>C1212/100*7.3</f>
        <v>7.3</v>
      </c>
      <c r="F1212" s="11">
        <f>C1212/100*7.9</f>
        <v>7.9</v>
      </c>
      <c r="G1212" s="11">
        <f>C1212/100*38.1</f>
        <v>38.1</v>
      </c>
      <c r="H1212" s="11">
        <f>C1212/100*170</f>
        <v>170</v>
      </c>
      <c r="I1212" s="70"/>
      <c r="J1212" s="70"/>
      <c r="K1212" s="70"/>
      <c r="L1212" s="11">
        <f>C1212/100*0.1652378</f>
        <v>0.16523779999999999</v>
      </c>
      <c r="M1212" s="19" t="s">
        <v>751</v>
      </c>
    </row>
    <row r="1213" spans="2:13">
      <c r="B1213" s="81" t="s">
        <v>1305</v>
      </c>
      <c r="C1213" s="24">
        <v>100</v>
      </c>
      <c r="D1213" s="5">
        <f>C1213/100*302</f>
        <v>302</v>
      </c>
      <c r="E1213" s="11">
        <f>C1213/100*5.3</f>
        <v>5.3</v>
      </c>
      <c r="F1213" s="11">
        <f>C1213/100*0.1</f>
        <v>0.1</v>
      </c>
      <c r="G1213" s="11">
        <f>C1213/100*71.7</f>
        <v>71.7</v>
      </c>
      <c r="H1213" s="11">
        <f t="shared" ref="H1213:H1226" si="63">C1213/100*0</f>
        <v>0</v>
      </c>
      <c r="I1213" s="70"/>
      <c r="J1213" s="70"/>
      <c r="K1213" s="70">
        <f>C1213/100*3.45</f>
        <v>3.45</v>
      </c>
      <c r="L1213" s="11">
        <f>C1213/100*0.0185574</f>
        <v>1.8557400000000002E-2</v>
      </c>
      <c r="M1213" s="19" t="s">
        <v>751</v>
      </c>
    </row>
    <row r="1214" spans="2:13">
      <c r="B1214" s="81" t="s">
        <v>1306</v>
      </c>
      <c r="C1214" s="24">
        <v>100</v>
      </c>
      <c r="D1214" s="5">
        <f>C1214/100*358</f>
        <v>358</v>
      </c>
      <c r="E1214" s="11">
        <f>C1214/100*13</f>
        <v>13</v>
      </c>
      <c r="F1214" s="11">
        <f>C1214/100*2</f>
        <v>2</v>
      </c>
      <c r="G1214" s="11">
        <f>C1214/100*72</f>
        <v>72</v>
      </c>
      <c r="H1214" s="11">
        <f t="shared" si="63"/>
        <v>0</v>
      </c>
      <c r="I1214" s="70"/>
      <c r="J1214" s="70"/>
      <c r="K1214" s="70"/>
      <c r="L1214" s="11">
        <f t="shared" ref="L1214:L1226" si="64">C1214/100*0</f>
        <v>0</v>
      </c>
      <c r="M1214" s="19">
        <v>1</v>
      </c>
    </row>
    <row r="1215" spans="2:13">
      <c r="B1215" s="81" t="s">
        <v>1307</v>
      </c>
      <c r="C1215" s="24">
        <v>22.5</v>
      </c>
      <c r="D1215" s="5">
        <f>C1215/100*96/0.225</f>
        <v>96</v>
      </c>
      <c r="E1215" s="11">
        <f>C1215/100*1.9/0.225</f>
        <v>1.9</v>
      </c>
      <c r="F1215" s="11">
        <f>C1215/100*3/0.225</f>
        <v>3</v>
      </c>
      <c r="G1215" s="11">
        <f>C1215/100*16/0.225</f>
        <v>16</v>
      </c>
      <c r="H1215" s="11">
        <f>C1215/100*0/0.225</f>
        <v>0</v>
      </c>
      <c r="I1215" s="70"/>
      <c r="J1215" s="70"/>
      <c r="K1215" s="70">
        <f>C1215/100*1.2/0.225</f>
        <v>1.2</v>
      </c>
      <c r="L1215" s="11">
        <f>C1215/100*0.2237066/0.225</f>
        <v>0.22370660000000001</v>
      </c>
      <c r="M1215" s="19" t="s">
        <v>751</v>
      </c>
    </row>
    <row r="1216" spans="2:13">
      <c r="B1216" s="81" t="s">
        <v>1308</v>
      </c>
      <c r="C1216" s="24">
        <v>30</v>
      </c>
      <c r="D1216" s="5">
        <f>C1216/100*124/0.3</f>
        <v>123.99999999999999</v>
      </c>
      <c r="E1216" s="11">
        <f>C1216/100*2.6/0.3</f>
        <v>2.6</v>
      </c>
      <c r="F1216" s="11">
        <f>C1216/100*1.4/0.3</f>
        <v>1.4</v>
      </c>
      <c r="G1216" s="11">
        <f>C1216/100*20/0.3</f>
        <v>20</v>
      </c>
      <c r="H1216" s="11">
        <f>C1216/100*0/0.3</f>
        <v>0</v>
      </c>
      <c r="I1216" s="70"/>
      <c r="J1216" s="70"/>
      <c r="K1216" s="70">
        <f>C1216/100*6/0.3</f>
        <v>6</v>
      </c>
      <c r="L1216" s="11">
        <f>C1216/100*0.1779484/0.3</f>
        <v>0.17794840000000001</v>
      </c>
      <c r="M1216" s="19" t="s">
        <v>751</v>
      </c>
    </row>
    <row r="1217" spans="2:13">
      <c r="B1217" s="81" t="s">
        <v>1309</v>
      </c>
      <c r="C1217" s="24">
        <v>15</v>
      </c>
      <c r="D1217" s="5">
        <f>C1217/100*15/0.15</f>
        <v>15</v>
      </c>
      <c r="E1217" s="11">
        <f>C1217/100*1.5/0.15</f>
        <v>1.5</v>
      </c>
      <c r="F1217" s="11">
        <f>C1217/100*0/0.15</f>
        <v>0</v>
      </c>
      <c r="G1217" s="11">
        <f>C1217/100*2/0.15</f>
        <v>2</v>
      </c>
      <c r="H1217" s="11">
        <f>C1217/100*0/0.15</f>
        <v>0</v>
      </c>
      <c r="I1217" s="70"/>
      <c r="J1217" s="70"/>
      <c r="K1217" s="70"/>
      <c r="L1217" s="11">
        <f>C1217/100*2.4785679/0.15</f>
        <v>2.4785678999999998</v>
      </c>
      <c r="M1217" s="3" t="s">
        <v>747</v>
      </c>
    </row>
    <row r="1218" spans="2:13">
      <c r="B1218" s="81"/>
      <c r="C1218" s="24"/>
      <c r="D1218" s="5">
        <f t="shared" ref="D1218:D1226" si="65">C1218/100*0</f>
        <v>0</v>
      </c>
      <c r="E1218" s="11">
        <f t="shared" ref="E1218:E1226" si="66">C1218/100*0</f>
        <v>0</v>
      </c>
      <c r="F1218" s="11">
        <f t="shared" ref="F1218:F1226" si="67">C1218/100*0</f>
        <v>0</v>
      </c>
      <c r="G1218" s="11">
        <f t="shared" ref="G1218:G1226" si="68">C1218/100*0</f>
        <v>0</v>
      </c>
      <c r="H1218" s="11">
        <f t="shared" si="63"/>
        <v>0</v>
      </c>
      <c r="I1218" s="70">
        <f t="shared" ref="I1218:I1226" si="69">C1218/100*0</f>
        <v>0</v>
      </c>
      <c r="J1218" s="70">
        <f t="shared" ref="J1218:J1226" si="70">C1218/100*0</f>
        <v>0</v>
      </c>
      <c r="K1218" s="70">
        <f t="shared" ref="K1218:K1226" si="71">C1218/100*0</f>
        <v>0</v>
      </c>
      <c r="L1218" s="11">
        <f t="shared" si="64"/>
        <v>0</v>
      </c>
      <c r="M1218" s="19"/>
    </row>
    <row r="1219" spans="2:13">
      <c r="B1219" s="81"/>
      <c r="C1219" s="24"/>
      <c r="D1219" s="5">
        <f t="shared" si="65"/>
        <v>0</v>
      </c>
      <c r="E1219" s="11">
        <f t="shared" si="66"/>
        <v>0</v>
      </c>
      <c r="F1219" s="11">
        <f t="shared" si="67"/>
        <v>0</v>
      </c>
      <c r="G1219" s="11">
        <f t="shared" si="68"/>
        <v>0</v>
      </c>
      <c r="H1219" s="11">
        <f t="shared" si="63"/>
        <v>0</v>
      </c>
      <c r="I1219" s="70">
        <f t="shared" si="69"/>
        <v>0</v>
      </c>
      <c r="J1219" s="70">
        <f t="shared" si="70"/>
        <v>0</v>
      </c>
      <c r="K1219" s="70">
        <f t="shared" si="71"/>
        <v>0</v>
      </c>
      <c r="L1219" s="11">
        <f t="shared" si="64"/>
        <v>0</v>
      </c>
      <c r="M1219" s="19"/>
    </row>
    <row r="1220" spans="2:13">
      <c r="B1220" s="81"/>
      <c r="C1220" s="24"/>
      <c r="D1220" s="5">
        <f t="shared" si="65"/>
        <v>0</v>
      </c>
      <c r="E1220" s="11">
        <f t="shared" si="66"/>
        <v>0</v>
      </c>
      <c r="F1220" s="11">
        <f t="shared" si="67"/>
        <v>0</v>
      </c>
      <c r="G1220" s="11">
        <f t="shared" si="68"/>
        <v>0</v>
      </c>
      <c r="H1220" s="11">
        <f t="shared" si="63"/>
        <v>0</v>
      </c>
      <c r="I1220" s="70">
        <f t="shared" si="69"/>
        <v>0</v>
      </c>
      <c r="J1220" s="70">
        <f t="shared" si="70"/>
        <v>0</v>
      </c>
      <c r="K1220" s="70">
        <f t="shared" si="71"/>
        <v>0</v>
      </c>
      <c r="L1220" s="11">
        <f t="shared" si="64"/>
        <v>0</v>
      </c>
      <c r="M1220" s="19"/>
    </row>
    <row r="1221" spans="2:13">
      <c r="B1221" s="81"/>
      <c r="C1221" s="24"/>
      <c r="D1221" s="5">
        <f t="shared" si="65"/>
        <v>0</v>
      </c>
      <c r="E1221" s="11">
        <f t="shared" si="66"/>
        <v>0</v>
      </c>
      <c r="F1221" s="11">
        <f t="shared" si="67"/>
        <v>0</v>
      </c>
      <c r="G1221" s="11">
        <f t="shared" si="68"/>
        <v>0</v>
      </c>
      <c r="H1221" s="11">
        <f t="shared" si="63"/>
        <v>0</v>
      </c>
      <c r="I1221" s="70">
        <f t="shared" si="69"/>
        <v>0</v>
      </c>
      <c r="J1221" s="70">
        <f t="shared" si="70"/>
        <v>0</v>
      </c>
      <c r="K1221" s="70">
        <f t="shared" si="71"/>
        <v>0</v>
      </c>
      <c r="L1221" s="11">
        <f t="shared" si="64"/>
        <v>0</v>
      </c>
      <c r="M1221" s="19"/>
    </row>
    <row r="1222" spans="2:13">
      <c r="B1222" s="81"/>
      <c r="C1222" s="24"/>
      <c r="D1222" s="5">
        <f t="shared" si="65"/>
        <v>0</v>
      </c>
      <c r="E1222" s="11">
        <f t="shared" si="66"/>
        <v>0</v>
      </c>
      <c r="F1222" s="11">
        <f t="shared" si="67"/>
        <v>0</v>
      </c>
      <c r="G1222" s="11">
        <f t="shared" si="68"/>
        <v>0</v>
      </c>
      <c r="H1222" s="11">
        <f t="shared" si="63"/>
        <v>0</v>
      </c>
      <c r="I1222" s="70">
        <f t="shared" si="69"/>
        <v>0</v>
      </c>
      <c r="J1222" s="70">
        <f t="shared" si="70"/>
        <v>0</v>
      </c>
      <c r="K1222" s="70">
        <f t="shared" si="71"/>
        <v>0</v>
      </c>
      <c r="L1222" s="11">
        <f t="shared" si="64"/>
        <v>0</v>
      </c>
      <c r="M1222" s="19"/>
    </row>
    <row r="1223" spans="2:13">
      <c r="B1223" s="81"/>
      <c r="C1223" s="24"/>
      <c r="D1223" s="5">
        <f t="shared" si="65"/>
        <v>0</v>
      </c>
      <c r="E1223" s="11">
        <f t="shared" si="66"/>
        <v>0</v>
      </c>
      <c r="F1223" s="11">
        <f t="shared" si="67"/>
        <v>0</v>
      </c>
      <c r="G1223" s="11">
        <f t="shared" si="68"/>
        <v>0</v>
      </c>
      <c r="H1223" s="11">
        <f t="shared" si="63"/>
        <v>0</v>
      </c>
      <c r="I1223" s="70">
        <f t="shared" si="69"/>
        <v>0</v>
      </c>
      <c r="J1223" s="70">
        <f t="shared" si="70"/>
        <v>0</v>
      </c>
      <c r="K1223" s="70">
        <f t="shared" si="71"/>
        <v>0</v>
      </c>
      <c r="L1223" s="11">
        <f t="shared" si="64"/>
        <v>0</v>
      </c>
      <c r="M1223" s="19"/>
    </row>
    <row r="1224" spans="2:13">
      <c r="B1224" s="81"/>
      <c r="C1224" s="24"/>
      <c r="D1224" s="5">
        <f t="shared" si="65"/>
        <v>0</v>
      </c>
      <c r="E1224" s="11">
        <f t="shared" si="66"/>
        <v>0</v>
      </c>
      <c r="F1224" s="11">
        <f t="shared" si="67"/>
        <v>0</v>
      </c>
      <c r="G1224" s="11">
        <f t="shared" si="68"/>
        <v>0</v>
      </c>
      <c r="H1224" s="11">
        <f t="shared" si="63"/>
        <v>0</v>
      </c>
      <c r="I1224" s="70">
        <f t="shared" si="69"/>
        <v>0</v>
      </c>
      <c r="J1224" s="70">
        <f t="shared" si="70"/>
        <v>0</v>
      </c>
      <c r="K1224" s="70">
        <f t="shared" si="71"/>
        <v>0</v>
      </c>
      <c r="L1224" s="11">
        <f t="shared" si="64"/>
        <v>0</v>
      </c>
      <c r="M1224" s="19"/>
    </row>
    <row r="1225" spans="2:13">
      <c r="B1225" s="81"/>
      <c r="C1225" s="24"/>
      <c r="D1225" s="5">
        <f t="shared" si="65"/>
        <v>0</v>
      </c>
      <c r="E1225" s="11">
        <f t="shared" si="66"/>
        <v>0</v>
      </c>
      <c r="F1225" s="11">
        <f t="shared" si="67"/>
        <v>0</v>
      </c>
      <c r="G1225" s="11">
        <f t="shared" si="68"/>
        <v>0</v>
      </c>
      <c r="H1225" s="11">
        <f t="shared" si="63"/>
        <v>0</v>
      </c>
      <c r="I1225" s="70">
        <f t="shared" si="69"/>
        <v>0</v>
      </c>
      <c r="J1225" s="70">
        <f t="shared" si="70"/>
        <v>0</v>
      </c>
      <c r="K1225" s="70">
        <f t="shared" si="71"/>
        <v>0</v>
      </c>
      <c r="L1225" s="11">
        <f t="shared" si="64"/>
        <v>0</v>
      </c>
      <c r="M1225" s="19"/>
    </row>
    <row r="1226" spans="2:13">
      <c r="B1226" s="81"/>
      <c r="C1226" s="24"/>
      <c r="D1226" s="5">
        <f t="shared" si="65"/>
        <v>0</v>
      </c>
      <c r="E1226" s="11">
        <f t="shared" si="66"/>
        <v>0</v>
      </c>
      <c r="F1226" s="11">
        <f t="shared" si="67"/>
        <v>0</v>
      </c>
      <c r="G1226" s="11">
        <f t="shared" si="68"/>
        <v>0</v>
      </c>
      <c r="H1226" s="11">
        <f t="shared" si="63"/>
        <v>0</v>
      </c>
      <c r="I1226" s="70">
        <f t="shared" si="69"/>
        <v>0</v>
      </c>
      <c r="J1226" s="70">
        <f t="shared" si="70"/>
        <v>0</v>
      </c>
      <c r="K1226" s="70">
        <f t="shared" si="71"/>
        <v>0</v>
      </c>
      <c r="L1226" s="11">
        <f t="shared" si="64"/>
        <v>0</v>
      </c>
      <c r="M1226" s="19"/>
    </row>
    <row r="1227" spans="2:13">
      <c r="B1227" s="81"/>
      <c r="C1227" s="24"/>
      <c r="D1227" s="5">
        <f>C1227/100*0</f>
        <v>0</v>
      </c>
      <c r="E1227" s="11">
        <f>C1227/100*0</f>
        <v>0</v>
      </c>
      <c r="F1227" s="11">
        <f>C1227/100*0</f>
        <v>0</v>
      </c>
      <c r="G1227" s="11">
        <f>C1227/100*0</f>
        <v>0</v>
      </c>
      <c r="H1227" s="11">
        <f>C1227/100*0</f>
        <v>0</v>
      </c>
      <c r="I1227" s="70">
        <f>C1227/100*0</f>
        <v>0</v>
      </c>
      <c r="J1227" s="70">
        <f>C1227/100*0</f>
        <v>0</v>
      </c>
      <c r="K1227" s="70">
        <f>C1227/100*0</f>
        <v>0</v>
      </c>
      <c r="L1227" s="11">
        <f>C1227/100*0</f>
        <v>0</v>
      </c>
      <c r="M1227" s="3"/>
    </row>
  </sheetData>
  <sortState ref="B4:M1198">
    <sortCondition ref="B17"/>
  </sortState>
  <phoneticPr fontId="1"/>
  <pageMargins left="0.7" right="0.7" top="0.75" bottom="0.75" header="0.3" footer="0.3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P164"/>
  <sheetViews>
    <sheetView topLeftCell="A127" zoomScale="170" zoomScaleNormal="170" workbookViewId="0">
      <selection activeCell="D153" sqref="D153"/>
    </sheetView>
  </sheetViews>
  <sheetFormatPr defaultRowHeight="13.5"/>
  <cols>
    <col min="1" max="1" width="2.25" customWidth="1"/>
    <col min="2" max="2" width="10.75" customWidth="1"/>
    <col min="3" max="3" width="3.375" bestFit="1" customWidth="1"/>
    <col min="4" max="4" width="9.875" bestFit="1" customWidth="1"/>
    <col min="5" max="5" width="7.75" bestFit="1" customWidth="1"/>
    <col min="6" max="6" width="6.5" bestFit="1" customWidth="1"/>
    <col min="7" max="8" width="7.5" bestFit="1" customWidth="1"/>
    <col min="9" max="9" width="6.375" bestFit="1" customWidth="1"/>
    <col min="10" max="10" width="7" bestFit="1" customWidth="1"/>
    <col min="11" max="11" width="6.5" bestFit="1" customWidth="1"/>
    <col min="12" max="13" width="5.5" bestFit="1" customWidth="1"/>
    <col min="14" max="14" width="7.125" bestFit="1" customWidth="1"/>
    <col min="15" max="15" width="7" bestFit="1" customWidth="1"/>
  </cols>
  <sheetData>
    <row r="1" spans="1:16" ht="15.75" customHeight="1" thickBot="1">
      <c r="A1" s="160"/>
      <c r="B1" s="160"/>
      <c r="C1" s="160"/>
      <c r="D1" s="160"/>
      <c r="E1" s="160"/>
      <c r="F1" s="160"/>
      <c r="G1" s="160"/>
      <c r="H1" s="178"/>
      <c r="I1" s="160"/>
      <c r="J1" s="71"/>
      <c r="K1" s="71"/>
      <c r="L1" s="71"/>
    </row>
    <row r="2" spans="1:16" ht="41.25" thickBot="1">
      <c r="A2" s="160"/>
      <c r="B2" s="183"/>
      <c r="C2" s="184"/>
      <c r="D2" s="186" t="s">
        <v>1169</v>
      </c>
      <c r="E2" s="187" t="s">
        <v>757</v>
      </c>
      <c r="F2" s="188" t="s">
        <v>4</v>
      </c>
      <c r="G2" s="189" t="s">
        <v>5</v>
      </c>
      <c r="H2" s="188" t="s">
        <v>1148</v>
      </c>
      <c r="I2" s="190" t="s">
        <v>1170</v>
      </c>
      <c r="J2" s="190" t="s">
        <v>1171</v>
      </c>
      <c r="K2" s="191" t="s">
        <v>1172</v>
      </c>
      <c r="L2" s="192" t="s">
        <v>1173</v>
      </c>
      <c r="M2" s="180"/>
      <c r="N2" s="215" t="s">
        <v>1192</v>
      </c>
      <c r="O2" s="216" t="s">
        <v>1174</v>
      </c>
      <c r="P2" s="152"/>
    </row>
    <row r="3" spans="1:16" ht="14.25" thickBot="1">
      <c r="A3" s="160"/>
      <c r="B3" s="181" t="s">
        <v>777</v>
      </c>
      <c r="C3" s="193"/>
      <c r="D3" s="199"/>
      <c r="E3" s="199">
        <v>52.47</v>
      </c>
      <c r="F3" s="199"/>
      <c r="G3" s="199"/>
      <c r="H3" s="199"/>
      <c r="I3" s="200"/>
      <c r="J3" s="200"/>
      <c r="K3" s="200">
        <v>30</v>
      </c>
      <c r="L3" s="201"/>
      <c r="M3" s="211"/>
      <c r="N3" s="219" t="s">
        <v>769</v>
      </c>
      <c r="O3" s="217">
        <f>O4*1.1</f>
        <v>57.2</v>
      </c>
      <c r="P3" s="152"/>
    </row>
    <row r="4" spans="1:16">
      <c r="A4" s="160"/>
      <c r="B4" s="194" t="s">
        <v>1190</v>
      </c>
      <c r="C4" s="195"/>
      <c r="D4" s="202">
        <v>1919</v>
      </c>
      <c r="E4" s="203"/>
      <c r="F4" s="203">
        <v>50</v>
      </c>
      <c r="G4" s="203">
        <v>314.06</v>
      </c>
      <c r="H4" s="203">
        <v>750</v>
      </c>
      <c r="I4" s="203"/>
      <c r="J4" s="202"/>
      <c r="K4" s="204"/>
      <c r="L4" s="214">
        <v>8</v>
      </c>
      <c r="M4" s="212"/>
      <c r="N4" s="220" t="s">
        <v>1168</v>
      </c>
      <c r="O4" s="218">
        <v>52</v>
      </c>
      <c r="P4" s="152"/>
    </row>
    <row r="5" spans="1:16" ht="12.75" customHeight="1" thickBot="1">
      <c r="A5" s="160"/>
      <c r="B5" s="196" t="s">
        <v>771</v>
      </c>
      <c r="C5" s="185"/>
      <c r="D5" s="205">
        <v>1800</v>
      </c>
      <c r="E5" s="205"/>
      <c r="F5" s="205">
        <v>40</v>
      </c>
      <c r="G5" s="205">
        <f>(G6+G4)/2</f>
        <v>269.19499999999999</v>
      </c>
      <c r="H5" s="206">
        <v>650</v>
      </c>
      <c r="I5" s="205"/>
      <c r="J5" s="205"/>
      <c r="K5" s="205">
        <v>24</v>
      </c>
      <c r="L5" s="207">
        <v>6</v>
      </c>
      <c r="M5" s="213"/>
      <c r="N5" s="221" t="s">
        <v>773</v>
      </c>
      <c r="O5" s="210">
        <f>O4*0.9</f>
        <v>46.800000000000004</v>
      </c>
      <c r="P5" s="154"/>
    </row>
    <row r="6" spans="1:16" ht="12.75" customHeight="1" thickBot="1">
      <c r="A6" s="160"/>
      <c r="B6" s="197" t="s">
        <v>1191</v>
      </c>
      <c r="C6" s="198"/>
      <c r="D6" s="208">
        <v>1737</v>
      </c>
      <c r="E6" s="209">
        <v>41.74</v>
      </c>
      <c r="F6" s="209">
        <v>30</v>
      </c>
      <c r="G6" s="209">
        <v>224.33</v>
      </c>
      <c r="H6" s="209"/>
      <c r="I6" s="209"/>
      <c r="J6" s="209"/>
      <c r="K6" s="209">
        <v>19</v>
      </c>
      <c r="L6" s="210">
        <v>1.5</v>
      </c>
      <c r="M6" s="213"/>
      <c r="N6" s="153"/>
      <c r="O6" s="213"/>
      <c r="P6" s="154"/>
    </row>
    <row r="7" spans="1:16">
      <c r="A7" s="160"/>
      <c r="B7" s="112"/>
      <c r="C7" s="160"/>
      <c r="D7" s="179"/>
      <c r="E7" s="162"/>
      <c r="F7" s="160"/>
      <c r="G7" s="160"/>
      <c r="H7" s="158"/>
      <c r="I7" s="161"/>
      <c r="J7" s="161"/>
      <c r="K7" s="160"/>
      <c r="L7" s="160"/>
      <c r="M7" s="54"/>
      <c r="N7" s="153"/>
      <c r="O7" s="153"/>
      <c r="P7" s="154"/>
    </row>
    <row r="8" spans="1:16">
      <c r="A8" s="160"/>
      <c r="B8" s="182"/>
      <c r="C8" s="160"/>
      <c r="D8" s="159"/>
      <c r="E8" s="162"/>
      <c r="F8" s="160"/>
      <c r="G8" s="160"/>
      <c r="H8" s="160"/>
      <c r="I8" s="161"/>
      <c r="J8" s="161"/>
      <c r="K8" s="160"/>
      <c r="L8" s="160"/>
      <c r="M8" s="54"/>
      <c r="N8" s="153"/>
      <c r="O8" s="153"/>
      <c r="P8" s="154"/>
    </row>
    <row r="9" spans="1:16" ht="15.75" customHeight="1"/>
    <row r="10" spans="1:16" ht="15.75" customHeight="1"/>
    <row r="11" spans="1:16" ht="15.75" customHeight="1"/>
    <row r="12" spans="1:16" ht="15.75" customHeight="1"/>
    <row r="13" spans="1:16" ht="15.75" customHeight="1"/>
    <row r="14" spans="1:16" ht="15.75" customHeight="1"/>
    <row r="15" spans="1:16" ht="15.75" customHeight="1"/>
    <row r="16" spans="1:16" ht="15.75" customHeight="1"/>
    <row r="17" spans="2:15" ht="15.75" customHeight="1"/>
    <row r="18" spans="2:15" ht="15.75" customHeight="1"/>
    <row r="19" spans="2:15" ht="15.75" customHeight="1"/>
    <row r="20" spans="2:15" ht="15.75" customHeight="1"/>
    <row r="21" spans="2:15" ht="15.75" customHeight="1"/>
    <row r="22" spans="2:15" ht="15.75" customHeight="1"/>
    <row r="23" spans="2:15" ht="15.75" customHeight="1"/>
    <row r="24" spans="2:15" ht="15.75" customHeight="1"/>
    <row r="25" spans="2:15" ht="15.75" customHeight="1"/>
    <row r="26" spans="2:15" ht="15.75" customHeight="1"/>
    <row r="27" spans="2:15" ht="15.75" customHeight="1"/>
    <row r="28" spans="2:15" ht="15.75" customHeight="1" thickBot="1"/>
    <row r="29" spans="2:15" ht="21.75" thickBot="1">
      <c r="B29" s="231" t="s">
        <v>764</v>
      </c>
      <c r="C29" s="232" t="s">
        <v>765</v>
      </c>
      <c r="D29" s="233" t="s">
        <v>1196</v>
      </c>
      <c r="E29" s="234" t="s">
        <v>757</v>
      </c>
      <c r="F29" s="235" t="s">
        <v>4</v>
      </c>
      <c r="G29" s="236" t="s">
        <v>5</v>
      </c>
      <c r="H29" s="235" t="s">
        <v>1197</v>
      </c>
      <c r="I29" s="237" t="s">
        <v>1170</v>
      </c>
      <c r="J29" s="237" t="s">
        <v>1171</v>
      </c>
      <c r="K29" s="238" t="s">
        <v>1172</v>
      </c>
      <c r="L29" s="239" t="s">
        <v>1173</v>
      </c>
      <c r="M29" s="240" t="s">
        <v>1174</v>
      </c>
      <c r="N29" s="241" t="s">
        <v>766</v>
      </c>
      <c r="O29" s="242" t="s">
        <v>1198</v>
      </c>
    </row>
    <row r="30" spans="2:15">
      <c r="B30" s="25">
        <v>42522</v>
      </c>
      <c r="C30" s="177" t="s">
        <v>775</v>
      </c>
      <c r="D30" s="27">
        <v>2008.4693548534019</v>
      </c>
      <c r="E30" s="28">
        <v>71.111952576145754</v>
      </c>
      <c r="F30" s="17">
        <v>36.844620893822949</v>
      </c>
      <c r="G30" s="155">
        <v>365.04242134927415</v>
      </c>
      <c r="H30" s="17">
        <v>265.86740392826641</v>
      </c>
      <c r="I30" s="29">
        <v>2.399133788784515</v>
      </c>
      <c r="J30" s="30">
        <v>8.1346997438087101</v>
      </c>
      <c r="K30" s="31">
        <v>31.60582712781099</v>
      </c>
      <c r="L30" s="31">
        <v>3.5407051941932126</v>
      </c>
      <c r="M30" s="32">
        <v>49.9</v>
      </c>
      <c r="N30" s="33">
        <v>99</v>
      </c>
      <c r="O30" s="34">
        <v>5.6000000000000001E-2</v>
      </c>
    </row>
    <row r="31" spans="2:15">
      <c r="B31" s="25">
        <v>42523</v>
      </c>
      <c r="C31" s="26" t="s">
        <v>776</v>
      </c>
      <c r="D31" s="35">
        <v>2236.9201504779221</v>
      </c>
      <c r="E31" s="36">
        <v>87.820226446938307</v>
      </c>
      <c r="F31" s="5">
        <v>36.825739381328333</v>
      </c>
      <c r="G31" s="156">
        <v>404.99564121551043</v>
      </c>
      <c r="H31" s="5">
        <v>311.47517879161529</v>
      </c>
      <c r="I31" s="37">
        <v>3.6305981829211151</v>
      </c>
      <c r="J31" s="38">
        <v>10.127153863566544</v>
      </c>
      <c r="K31" s="39">
        <v>34.02311620295464</v>
      </c>
      <c r="L31" s="39">
        <v>6.1012805206522938</v>
      </c>
      <c r="M31" s="40">
        <v>50.1</v>
      </c>
      <c r="N31" s="41"/>
      <c r="O31" s="42"/>
    </row>
    <row r="32" spans="2:15">
      <c r="B32" s="25">
        <v>42524</v>
      </c>
      <c r="C32" s="26" t="s">
        <v>767</v>
      </c>
      <c r="D32" s="35">
        <v>2085.2823322488557</v>
      </c>
      <c r="E32" s="36">
        <v>69.189183312986373</v>
      </c>
      <c r="F32" s="5">
        <v>35.578539398813234</v>
      </c>
      <c r="G32" s="156">
        <v>396.2632538889244</v>
      </c>
      <c r="H32" s="5">
        <v>271.36891520429162</v>
      </c>
      <c r="I32" s="37">
        <v>2.7885566026994337</v>
      </c>
      <c r="J32" s="38">
        <v>8.7970649075053977</v>
      </c>
      <c r="K32" s="39">
        <v>35.164006270020366</v>
      </c>
      <c r="L32" s="39">
        <v>5.1841028153558888</v>
      </c>
      <c r="M32" s="40">
        <v>50.1</v>
      </c>
      <c r="N32" s="41"/>
      <c r="O32" s="42"/>
    </row>
    <row r="33" spans="2:15">
      <c r="B33" s="25">
        <v>42525</v>
      </c>
      <c r="C33" s="26" t="s">
        <v>768</v>
      </c>
      <c r="D33" s="35">
        <v>1791.083393562526</v>
      </c>
      <c r="E33" s="36">
        <v>94.340442863985785</v>
      </c>
      <c r="F33" s="5">
        <v>36.116085363126842</v>
      </c>
      <c r="G33" s="156">
        <v>286.72664093917092</v>
      </c>
      <c r="H33" s="5">
        <v>286.71009240975917</v>
      </c>
      <c r="I33" s="37">
        <v>3.0433595169550429</v>
      </c>
      <c r="J33" s="38">
        <v>9.4763974747864808</v>
      </c>
      <c r="K33" s="39">
        <v>35.547085954799641</v>
      </c>
      <c r="L33" s="39">
        <v>6.7839046756517263</v>
      </c>
      <c r="M33" s="40">
        <v>49.8</v>
      </c>
      <c r="N33" s="41"/>
      <c r="O33" s="42"/>
    </row>
    <row r="34" spans="2:15">
      <c r="B34" s="25">
        <v>42526</v>
      </c>
      <c r="C34" s="45" t="s">
        <v>770</v>
      </c>
      <c r="D34" s="46">
        <v>1811.2185135888933</v>
      </c>
      <c r="E34" s="47">
        <v>76.209327370493583</v>
      </c>
      <c r="F34" s="47">
        <v>42.685590074035971</v>
      </c>
      <c r="G34" s="132">
        <v>290.16990360434829</v>
      </c>
      <c r="H34" s="157">
        <v>271.17526484245877</v>
      </c>
      <c r="I34" s="48">
        <v>2.9933600267483271</v>
      </c>
      <c r="J34" s="49">
        <v>8.6664453697887716</v>
      </c>
      <c r="K34" s="50">
        <v>30.369236453583852</v>
      </c>
      <c r="L34" s="50">
        <v>6.1457439372073495</v>
      </c>
      <c r="M34" s="40">
        <v>50.1</v>
      </c>
      <c r="N34" s="41"/>
      <c r="O34" s="42"/>
    </row>
    <row r="35" spans="2:15">
      <c r="B35" s="25">
        <v>42527</v>
      </c>
      <c r="C35" s="26" t="s">
        <v>772</v>
      </c>
      <c r="D35" s="46">
        <v>1783.2179777947988</v>
      </c>
      <c r="E35" s="47">
        <v>75.693265080113889</v>
      </c>
      <c r="F35" s="47">
        <v>43.25766757471127</v>
      </c>
      <c r="G35" s="132">
        <v>290.61812310043354</v>
      </c>
      <c r="H35" s="157">
        <v>305.95432208725765</v>
      </c>
      <c r="I35" s="48">
        <v>3.4853672196703545</v>
      </c>
      <c r="J35" s="49">
        <v>11.719901334970578</v>
      </c>
      <c r="K35" s="50">
        <v>40.147317119162963</v>
      </c>
      <c r="L35" s="50">
        <v>6.8045498116987613</v>
      </c>
      <c r="M35" s="40">
        <v>50</v>
      </c>
      <c r="N35" s="41"/>
      <c r="O35" s="42"/>
    </row>
    <row r="36" spans="2:15">
      <c r="B36" s="25">
        <v>42528</v>
      </c>
      <c r="C36" s="26" t="s">
        <v>774</v>
      </c>
      <c r="D36" s="46">
        <v>1757.9346363361658</v>
      </c>
      <c r="E36" s="47">
        <v>63.42565708202995</v>
      </c>
      <c r="F36" s="47">
        <v>44.214802220467398</v>
      </c>
      <c r="G36" s="132">
        <v>292.45107962912937</v>
      </c>
      <c r="H36" s="157">
        <v>479.27579695411498</v>
      </c>
      <c r="I36" s="48">
        <v>3.7845285265924309</v>
      </c>
      <c r="J36" s="49">
        <v>12.320649336093277</v>
      </c>
      <c r="K36" s="50">
        <v>36.338671583433019</v>
      </c>
      <c r="L36" s="50">
        <v>4.9769269082543071</v>
      </c>
      <c r="M36" s="40">
        <v>50.5</v>
      </c>
      <c r="N36" s="41"/>
      <c r="O36" s="42"/>
    </row>
    <row r="37" spans="2:15">
      <c r="B37" s="25">
        <v>42529</v>
      </c>
      <c r="C37" s="26" t="s">
        <v>775</v>
      </c>
      <c r="D37" s="46">
        <v>1772.3405270880362</v>
      </c>
      <c r="E37" s="47">
        <v>70.040023992946686</v>
      </c>
      <c r="F37" s="47">
        <v>46.663658392625578</v>
      </c>
      <c r="G37" s="132">
        <v>285.62851788373001</v>
      </c>
      <c r="H37" s="157">
        <v>311.06480841801198</v>
      </c>
      <c r="I37" s="48">
        <v>3.1800032528971434</v>
      </c>
      <c r="J37" s="49">
        <v>9.0391244402972273</v>
      </c>
      <c r="K37" s="50">
        <v>32.632421304040562</v>
      </c>
      <c r="L37" s="50">
        <v>4.988119316144477</v>
      </c>
      <c r="M37" s="40">
        <v>50</v>
      </c>
      <c r="N37" s="41"/>
      <c r="O37" s="42"/>
    </row>
    <row r="38" spans="2:15">
      <c r="B38" s="25">
        <v>42530</v>
      </c>
      <c r="C38" s="26" t="s">
        <v>776</v>
      </c>
      <c r="D38" s="46">
        <v>1777.3695425923727</v>
      </c>
      <c r="E38" s="47">
        <v>80.729728101291585</v>
      </c>
      <c r="F38" s="47">
        <v>41.296196574958842</v>
      </c>
      <c r="G38" s="132">
        <v>288.57762521427719</v>
      </c>
      <c r="H38" s="157">
        <v>150.3082540436871</v>
      </c>
      <c r="I38" s="48">
        <v>2.4630522412125115</v>
      </c>
      <c r="J38" s="49">
        <v>9.5587920025798141</v>
      </c>
      <c r="K38" s="50">
        <v>30.01996468881006</v>
      </c>
      <c r="L38" s="50">
        <v>4.2103276232770925</v>
      </c>
      <c r="M38" s="40">
        <v>49.9</v>
      </c>
      <c r="N38" s="41"/>
      <c r="O38" s="42"/>
    </row>
    <row r="39" spans="2:15">
      <c r="B39" s="25">
        <v>42531</v>
      </c>
      <c r="C39" s="26" t="s">
        <v>767</v>
      </c>
      <c r="D39" s="51">
        <v>1792.8597694292166</v>
      </c>
      <c r="E39" s="36">
        <v>87.479530873235475</v>
      </c>
      <c r="F39" s="5">
        <v>42.742820163370823</v>
      </c>
      <c r="G39" s="156">
        <v>281.40379499068979</v>
      </c>
      <c r="H39" s="5">
        <v>367.50098585523921</v>
      </c>
      <c r="I39" s="37">
        <v>2.7303580205656868</v>
      </c>
      <c r="J39" s="38">
        <v>8.4128308948206101</v>
      </c>
      <c r="K39" s="39">
        <v>31.349721612955239</v>
      </c>
      <c r="L39" s="39">
        <v>6.9831306071577597</v>
      </c>
      <c r="M39" s="40">
        <v>49.6</v>
      </c>
      <c r="N39" s="52"/>
      <c r="O39" s="53"/>
    </row>
    <row r="40" spans="2:15">
      <c r="B40" s="25">
        <v>42532</v>
      </c>
      <c r="C40" s="26" t="s">
        <v>768</v>
      </c>
      <c r="D40" s="46">
        <v>1769.7677704324772</v>
      </c>
      <c r="E40" s="47">
        <v>85.381764841177372</v>
      </c>
      <c r="F40" s="47">
        <v>46.92747432135431</v>
      </c>
      <c r="G40" s="132">
        <v>266.86641409748734</v>
      </c>
      <c r="H40" s="157">
        <v>410.70486999077644</v>
      </c>
      <c r="I40" s="48">
        <v>2.6659748810650745</v>
      </c>
      <c r="J40" s="49">
        <v>8.8600618036845553</v>
      </c>
      <c r="K40" s="50">
        <v>31.258110761963707</v>
      </c>
      <c r="L40" s="50">
        <v>5.7110725856508884</v>
      </c>
      <c r="M40" s="40">
        <v>49.6</v>
      </c>
      <c r="N40" s="41"/>
      <c r="O40" s="42"/>
    </row>
    <row r="41" spans="2:15">
      <c r="B41" s="25">
        <v>42533</v>
      </c>
      <c r="C41" s="45" t="s">
        <v>770</v>
      </c>
      <c r="D41" s="35">
        <v>1799.9392475545524</v>
      </c>
      <c r="E41" s="36">
        <v>84.78098871331828</v>
      </c>
      <c r="F41" s="5">
        <v>42.460787810383749</v>
      </c>
      <c r="G41" s="156">
        <v>289.2825424056756</v>
      </c>
      <c r="H41" s="5">
        <v>436.49798129635599</v>
      </c>
      <c r="I41" s="37">
        <v>1.4605182199290552</v>
      </c>
      <c r="J41" s="38">
        <v>5.7292515317639481</v>
      </c>
      <c r="K41" s="39">
        <v>31.464801838116735</v>
      </c>
      <c r="L41" s="39">
        <v>4.9689038533330638</v>
      </c>
      <c r="M41" s="40">
        <v>49.6</v>
      </c>
      <c r="N41" s="41"/>
      <c r="O41" s="42"/>
    </row>
    <row r="42" spans="2:15">
      <c r="B42" s="25">
        <v>42534</v>
      </c>
      <c r="C42" s="26" t="s">
        <v>772</v>
      </c>
      <c r="D42" s="46">
        <v>1795.9978633775895</v>
      </c>
      <c r="E42" s="47">
        <v>80.959692644416094</v>
      </c>
      <c r="F42" s="47">
        <v>42.388215850927025</v>
      </c>
      <c r="G42" s="132">
        <v>290.72456903069764</v>
      </c>
      <c r="H42" s="157">
        <v>306.90295464639291</v>
      </c>
      <c r="I42" s="48">
        <v>4.17954783366398</v>
      </c>
      <c r="J42" s="49">
        <v>11.616439804156006</v>
      </c>
      <c r="K42" s="50">
        <v>39.809265041217216</v>
      </c>
      <c r="L42" s="50">
        <v>6.7321389634608639</v>
      </c>
      <c r="M42" s="40">
        <v>49.6</v>
      </c>
      <c r="N42" s="41"/>
      <c r="O42" s="42"/>
    </row>
    <row r="43" spans="2:15">
      <c r="B43" s="25">
        <v>42535</v>
      </c>
      <c r="C43" s="26" t="s">
        <v>774</v>
      </c>
      <c r="D43" s="46">
        <v>1792.2267781266005</v>
      </c>
      <c r="E43" s="47">
        <v>83.958928070363157</v>
      </c>
      <c r="F43" s="47">
        <v>45.683849989128625</v>
      </c>
      <c r="G43" s="132">
        <v>276.9408802726025</v>
      </c>
      <c r="H43" s="157">
        <v>352.44847495909681</v>
      </c>
      <c r="I43" s="48">
        <v>2.5905791945433929</v>
      </c>
      <c r="J43" s="49">
        <v>8.1143379288833035</v>
      </c>
      <c r="K43" s="50">
        <v>37.483732514482746</v>
      </c>
      <c r="L43" s="50">
        <v>6.2653442285799503</v>
      </c>
      <c r="M43" s="40">
        <v>49.6</v>
      </c>
      <c r="N43" s="41"/>
      <c r="O43" s="42"/>
    </row>
    <row r="44" spans="2:15">
      <c r="B44" s="25">
        <v>42536</v>
      </c>
      <c r="C44" s="26" t="s">
        <v>775</v>
      </c>
      <c r="D44" s="35">
        <v>1849.7425400721245</v>
      </c>
      <c r="E44" s="36">
        <v>93.547350991711085</v>
      </c>
      <c r="F44" s="5">
        <v>42.60968723155176</v>
      </c>
      <c r="G44" s="156">
        <v>291.09769075569193</v>
      </c>
      <c r="H44" s="5">
        <v>394.5011260697562</v>
      </c>
      <c r="I44" s="37">
        <v>3.2319262675601488</v>
      </c>
      <c r="J44" s="38">
        <v>10.489654424350075</v>
      </c>
      <c r="K44" s="39">
        <v>38.869616369287911</v>
      </c>
      <c r="L44" s="39">
        <v>5.7009627249002834</v>
      </c>
      <c r="M44" s="40">
        <v>49.9</v>
      </c>
      <c r="N44" s="41"/>
      <c r="O44" s="42"/>
    </row>
    <row r="45" spans="2:15">
      <c r="B45" s="25">
        <v>42537</v>
      </c>
      <c r="C45" s="26" t="s">
        <v>776</v>
      </c>
      <c r="D45" s="46">
        <v>2202.8427610392737</v>
      </c>
      <c r="E45" s="47">
        <v>65.54963139214432</v>
      </c>
      <c r="F45" s="47">
        <v>42.69497536643599</v>
      </c>
      <c r="G45" s="132">
        <v>415.37788035391463</v>
      </c>
      <c r="H45" s="157">
        <v>111.1919665227671</v>
      </c>
      <c r="I45" s="48">
        <v>3.7134107341793809</v>
      </c>
      <c r="J45" s="49">
        <v>13.093712315031354</v>
      </c>
      <c r="K45" s="50">
        <v>37.838520155143556</v>
      </c>
      <c r="L45" s="50">
        <v>7.5776769252845053</v>
      </c>
      <c r="M45" s="40">
        <v>49.6</v>
      </c>
      <c r="N45" s="41"/>
      <c r="O45" s="42"/>
    </row>
    <row r="46" spans="2:15">
      <c r="B46" s="25">
        <v>42538</v>
      </c>
      <c r="C46" s="26" t="s">
        <v>767</v>
      </c>
      <c r="D46" s="46">
        <v>2322.6014530995326</v>
      </c>
      <c r="E46" s="47">
        <v>109.0849914748124</v>
      </c>
      <c r="F46" s="47">
        <v>57.21467261425218</v>
      </c>
      <c r="G46" s="132">
        <v>357.57665969681659</v>
      </c>
      <c r="H46" s="157">
        <v>451.20164645407169</v>
      </c>
      <c r="I46" s="48">
        <v>2.8745069342335876</v>
      </c>
      <c r="J46" s="49">
        <v>9.6945976066405528</v>
      </c>
      <c r="K46" s="50">
        <v>32.229037073321557</v>
      </c>
      <c r="L46" s="50">
        <v>8.0744646127032631</v>
      </c>
      <c r="M46" s="40">
        <v>50.1</v>
      </c>
      <c r="N46" s="41"/>
      <c r="O46" s="42"/>
    </row>
    <row r="47" spans="2:15">
      <c r="B47" s="25">
        <v>42539</v>
      </c>
      <c r="C47" s="26" t="s">
        <v>768</v>
      </c>
      <c r="D47" s="46">
        <v>1854.5172946520788</v>
      </c>
      <c r="E47" s="47">
        <v>90.619698059763508</v>
      </c>
      <c r="F47" s="47">
        <v>44.081915916705718</v>
      </c>
      <c r="G47" s="132">
        <v>289.99810374742782</v>
      </c>
      <c r="H47" s="157">
        <v>167.56984466130905</v>
      </c>
      <c r="I47" s="48">
        <v>2.131882707280317</v>
      </c>
      <c r="J47" s="49">
        <v>6.5963058050280576</v>
      </c>
      <c r="K47" s="50">
        <v>30.209349341658069</v>
      </c>
      <c r="L47" s="50">
        <v>5.6479965391641684</v>
      </c>
      <c r="M47" s="40">
        <v>50.2</v>
      </c>
      <c r="N47" s="41"/>
      <c r="O47" s="42"/>
    </row>
    <row r="48" spans="2:15">
      <c r="B48" s="25">
        <v>42540</v>
      </c>
      <c r="C48" s="45" t="s">
        <v>770</v>
      </c>
      <c r="D48" s="35">
        <v>1776.5213425630159</v>
      </c>
      <c r="E48" s="36">
        <v>71.62365230625187</v>
      </c>
      <c r="F48" s="5">
        <v>46.333671679502586</v>
      </c>
      <c r="G48" s="156">
        <v>285.69466714448674</v>
      </c>
      <c r="H48" s="5">
        <v>527.59989977069938</v>
      </c>
      <c r="I48" s="37">
        <v>3.0411876639623516</v>
      </c>
      <c r="J48" s="38">
        <v>10.407647214191657</v>
      </c>
      <c r="K48" s="39">
        <v>39.179696366412472</v>
      </c>
      <c r="L48" s="39">
        <v>5.5455486081819529</v>
      </c>
      <c r="M48" s="40">
        <v>50.1</v>
      </c>
      <c r="N48" s="52"/>
      <c r="O48" s="53"/>
    </row>
    <row r="49" spans="2:15">
      <c r="B49" s="25">
        <v>42541</v>
      </c>
      <c r="C49" s="26" t="s">
        <v>772</v>
      </c>
      <c r="D49" s="35">
        <v>1795.8180108966362</v>
      </c>
      <c r="E49" s="36">
        <v>72.327861860664626</v>
      </c>
      <c r="F49" s="5">
        <v>46.32926184766032</v>
      </c>
      <c r="G49" s="156">
        <v>288.93517032173673</v>
      </c>
      <c r="H49" s="5">
        <v>372.62017293720919</v>
      </c>
      <c r="I49" s="37">
        <v>3.2818304927911695</v>
      </c>
      <c r="J49" s="38">
        <v>10.386019469111876</v>
      </c>
      <c r="K49" s="39">
        <v>38.146586290172273</v>
      </c>
      <c r="L49" s="39">
        <v>6.449257668492649</v>
      </c>
      <c r="M49" s="55">
        <v>50.2</v>
      </c>
      <c r="N49" s="41"/>
      <c r="O49" s="42"/>
    </row>
    <row r="50" spans="2:15">
      <c r="B50" s="25">
        <v>42542</v>
      </c>
      <c r="C50" s="26" t="s">
        <v>774</v>
      </c>
      <c r="D50" s="46">
        <v>2115.8754682207655</v>
      </c>
      <c r="E50" s="47">
        <v>73.700159854118382</v>
      </c>
      <c r="F50" s="47">
        <v>46.829190399205807</v>
      </c>
      <c r="G50" s="132">
        <v>372.71741086646705</v>
      </c>
      <c r="H50" s="157">
        <v>485.56656818260308</v>
      </c>
      <c r="I50" s="48">
        <v>4.7123645071033895</v>
      </c>
      <c r="J50" s="49">
        <v>15.056364342308566</v>
      </c>
      <c r="K50" s="50">
        <v>41.307527542492778</v>
      </c>
      <c r="L50" s="50">
        <v>7.5332186741936757</v>
      </c>
      <c r="M50" s="40">
        <v>50.2</v>
      </c>
      <c r="N50" s="33"/>
      <c r="O50" s="34"/>
    </row>
    <row r="51" spans="2:15">
      <c r="B51" s="25">
        <v>42543</v>
      </c>
      <c r="C51" s="26" t="s">
        <v>775</v>
      </c>
      <c r="D51" s="46">
        <v>2029.4370457422215</v>
      </c>
      <c r="E51" s="47">
        <v>68.250468182423987</v>
      </c>
      <c r="F51" s="47">
        <v>38.481004680755184</v>
      </c>
      <c r="G51" s="132">
        <v>380.89465696455551</v>
      </c>
      <c r="H51" s="157">
        <v>183.42381611170126</v>
      </c>
      <c r="I51" s="48">
        <v>3.0682055502768302</v>
      </c>
      <c r="J51" s="49">
        <v>10.886922034120506</v>
      </c>
      <c r="K51" s="50">
        <v>38.278197535701175</v>
      </c>
      <c r="L51" s="50">
        <v>5.1628962891287911</v>
      </c>
      <c r="M51" s="40">
        <v>50.6</v>
      </c>
      <c r="N51" s="41"/>
      <c r="O51" s="42"/>
    </row>
    <row r="52" spans="2:15">
      <c r="B52" s="25">
        <v>42544</v>
      </c>
      <c r="C52" s="26" t="s">
        <v>776</v>
      </c>
      <c r="D52" s="46">
        <v>2024.9124097926174</v>
      </c>
      <c r="E52" s="47">
        <v>77.058932237632391</v>
      </c>
      <c r="F52" s="47">
        <v>33.134111537352183</v>
      </c>
      <c r="G52" s="132">
        <v>372.12860947765682</v>
      </c>
      <c r="H52" s="157">
        <v>291.22007549667956</v>
      </c>
      <c r="I52" s="48">
        <v>3.046926715225482</v>
      </c>
      <c r="J52" s="49">
        <v>12.750190004899899</v>
      </c>
      <c r="K52" s="50">
        <v>33.238481227824479</v>
      </c>
      <c r="L52" s="50">
        <v>4.7357344081198054</v>
      </c>
      <c r="M52" s="40">
        <v>50.5</v>
      </c>
      <c r="N52" s="41"/>
      <c r="O52" s="42"/>
    </row>
    <row r="53" spans="2:15">
      <c r="B53" s="25">
        <v>42545</v>
      </c>
      <c r="C53" s="26" t="s">
        <v>767</v>
      </c>
      <c r="D53" s="46">
        <v>2051.2737721900548</v>
      </c>
      <c r="E53" s="47">
        <v>71.525535064287297</v>
      </c>
      <c r="F53" s="47">
        <v>44.952594208926968</v>
      </c>
      <c r="G53" s="132">
        <v>362.96794284503773</v>
      </c>
      <c r="H53" s="157">
        <v>74.206568146727989</v>
      </c>
      <c r="I53" s="48">
        <v>4.8354050628616028</v>
      </c>
      <c r="J53" s="49">
        <v>17.045880876838766</v>
      </c>
      <c r="K53" s="50">
        <v>45.442863096796764</v>
      </c>
      <c r="L53" s="50">
        <v>4.6104472976483191</v>
      </c>
      <c r="M53" s="40">
        <v>50.5</v>
      </c>
      <c r="N53" s="41"/>
      <c r="O53" s="42"/>
    </row>
    <row r="54" spans="2:15">
      <c r="B54" s="25">
        <v>42546</v>
      </c>
      <c r="C54" s="26" t="s">
        <v>768</v>
      </c>
      <c r="D54" s="46">
        <v>1810.8431922928157</v>
      </c>
      <c r="E54" s="47">
        <v>81.803389073998332</v>
      </c>
      <c r="F54" s="47">
        <v>36.79920785757843</v>
      </c>
      <c r="G54" s="132">
        <v>310.71661590973872</v>
      </c>
      <c r="H54" s="157">
        <v>296.20264934461431</v>
      </c>
      <c r="I54" s="48">
        <v>6.1200915306533412</v>
      </c>
      <c r="J54" s="49">
        <v>18.958037264454251</v>
      </c>
      <c r="K54" s="50">
        <v>44.752904002161856</v>
      </c>
      <c r="L54" s="50">
        <v>7.0911445616894531</v>
      </c>
      <c r="M54" s="40">
        <v>50.4</v>
      </c>
      <c r="N54" s="41"/>
      <c r="O54" s="42"/>
    </row>
    <row r="55" spans="2:15">
      <c r="B55" s="25">
        <v>42547</v>
      </c>
      <c r="C55" s="45" t="s">
        <v>770</v>
      </c>
      <c r="D55" s="46">
        <v>1853.4165654876822</v>
      </c>
      <c r="E55" s="47">
        <v>69.246901803580585</v>
      </c>
      <c r="F55" s="47">
        <v>46.334001227601114</v>
      </c>
      <c r="G55" s="132">
        <v>308.76479324521</v>
      </c>
      <c r="H55" s="157">
        <v>606.12858980017199</v>
      </c>
      <c r="I55" s="48">
        <v>5.3155221785664173</v>
      </c>
      <c r="J55" s="49">
        <v>13.07715305216713</v>
      </c>
      <c r="K55" s="50">
        <v>38.045072529930678</v>
      </c>
      <c r="L55" s="50">
        <v>7.4639337360626286</v>
      </c>
      <c r="M55" s="40">
        <v>50.6</v>
      </c>
      <c r="N55" s="41"/>
      <c r="O55" s="42"/>
    </row>
    <row r="56" spans="2:15">
      <c r="B56" s="25">
        <v>42548</v>
      </c>
      <c r="C56" s="26" t="s">
        <v>772</v>
      </c>
      <c r="D56" s="46">
        <v>1945.1745963630469</v>
      </c>
      <c r="E56" s="47">
        <v>78.015485523503528</v>
      </c>
      <c r="F56" s="47">
        <v>41.045721312312935</v>
      </c>
      <c r="G56" s="132">
        <v>334.27145147321846</v>
      </c>
      <c r="H56" s="157">
        <v>550.34863445419194</v>
      </c>
      <c r="I56" s="48">
        <v>3.5711738107581326</v>
      </c>
      <c r="J56" s="49">
        <v>19.688304233965212</v>
      </c>
      <c r="K56" s="50">
        <v>41.611831673524904</v>
      </c>
      <c r="L56" s="50">
        <v>6.3620724317187429</v>
      </c>
      <c r="M56" s="40">
        <v>50.5</v>
      </c>
      <c r="N56" s="41"/>
      <c r="O56" s="42"/>
    </row>
    <row r="57" spans="2:15">
      <c r="B57" s="25">
        <v>42549</v>
      </c>
      <c r="C57" s="26" t="s">
        <v>774</v>
      </c>
      <c r="D57" s="46">
        <v>2604.5628717879486</v>
      </c>
      <c r="E57" s="47">
        <v>86.673227324260722</v>
      </c>
      <c r="F57" s="47">
        <v>44.718994579420837</v>
      </c>
      <c r="G57" s="132">
        <v>484.50725687363058</v>
      </c>
      <c r="H57" s="157">
        <v>659.20903313729707</v>
      </c>
      <c r="I57" s="48">
        <v>6.7906551155128403</v>
      </c>
      <c r="J57" s="49">
        <v>26.068964659823855</v>
      </c>
      <c r="K57" s="50">
        <v>46.942484490605345</v>
      </c>
      <c r="L57" s="50">
        <v>5.9831065932646084</v>
      </c>
      <c r="M57" s="40">
        <v>50.6</v>
      </c>
      <c r="N57" s="41"/>
      <c r="O57" s="42"/>
    </row>
    <row r="58" spans="2:15">
      <c r="B58" s="25">
        <v>42550</v>
      </c>
      <c r="C58" s="26" t="s">
        <v>775</v>
      </c>
      <c r="D58" s="46">
        <v>1836.0381273912669</v>
      </c>
      <c r="E58" s="47">
        <v>77.615293693360826</v>
      </c>
      <c r="F58" s="47">
        <v>25.959435601685207</v>
      </c>
      <c r="G58" s="132">
        <v>339.13292120863417</v>
      </c>
      <c r="H58" s="157">
        <v>61.30361384107384</v>
      </c>
      <c r="I58" s="48">
        <v>4.5917241127260677</v>
      </c>
      <c r="J58" s="49">
        <v>17.577932322279111</v>
      </c>
      <c r="K58" s="50">
        <v>38.206020995139575</v>
      </c>
      <c r="L58" s="50">
        <v>7.807142526830301</v>
      </c>
      <c r="M58" s="40">
        <v>50.6</v>
      </c>
      <c r="N58" s="41"/>
      <c r="O58" s="42"/>
    </row>
    <row r="59" spans="2:15">
      <c r="B59" s="25">
        <v>42551</v>
      </c>
      <c r="C59" s="26" t="s">
        <v>776</v>
      </c>
      <c r="D59" s="46">
        <v>2605.4114391322023</v>
      </c>
      <c r="E59" s="47">
        <v>118.8498750245999</v>
      </c>
      <c r="F59" s="47">
        <v>39.441811023483559</v>
      </c>
      <c r="G59" s="132">
        <v>463.42745620545935</v>
      </c>
      <c r="H59" s="157">
        <v>261.03249916961374</v>
      </c>
      <c r="I59" s="48">
        <v>4.2546509291098795</v>
      </c>
      <c r="J59" s="49">
        <v>17.252902079414547</v>
      </c>
      <c r="K59" s="50">
        <v>42.004932081098872</v>
      </c>
      <c r="L59" s="50">
        <v>7.7162296734862563</v>
      </c>
      <c r="M59" s="40">
        <v>50.6</v>
      </c>
      <c r="N59" s="41"/>
      <c r="O59" s="42"/>
    </row>
    <row r="60" spans="2:15" ht="14.25" thickBot="1">
      <c r="B60" s="25"/>
      <c r="C60" s="26"/>
      <c r="D60" s="56"/>
      <c r="E60" s="57"/>
      <c r="F60" s="58"/>
      <c r="G60" s="133"/>
      <c r="H60" s="157"/>
      <c r="I60" s="59"/>
      <c r="J60" s="60"/>
      <c r="K60" s="61"/>
      <c r="L60" s="61"/>
      <c r="M60" s="62"/>
      <c r="N60" s="63"/>
      <c r="O60" s="64"/>
    </row>
    <row r="61" spans="2:15">
      <c r="B61" s="23" t="s">
        <v>778</v>
      </c>
      <c r="D61" s="65">
        <f>SUM(D30:D60)/COUNT(D30:D60)</f>
        <v>1955.1205582728896</v>
      </c>
      <c r="E61" s="7">
        <f t="shared" ref="E61:N61" si="0">SUM(E30:E60)/COUNT(E30:E60)</f>
        <v>80.553772194551854</v>
      </c>
      <c r="F61" s="7">
        <f t="shared" si="0"/>
        <v>42.021543503116192</v>
      </c>
      <c r="G61" s="7">
        <f t="shared" si="0"/>
        <v>332.13002315705455</v>
      </c>
      <c r="H61" s="7">
        <f t="shared" si="0"/>
        <v>334.01940025092711</v>
      </c>
      <c r="I61" s="66">
        <f t="shared" si="0"/>
        <v>3.5325467273682998</v>
      </c>
      <c r="J61" s="66">
        <f t="shared" si="0"/>
        <v>11.986791271377687</v>
      </c>
      <c r="K61" s="6">
        <f t="shared" si="0"/>
        <v>36.783879974820799</v>
      </c>
      <c r="L61" s="6">
        <f t="shared" si="0"/>
        <v>6.095269477049567</v>
      </c>
      <c r="M61" s="67">
        <f t="shared" si="0"/>
        <v>50.12</v>
      </c>
      <c r="N61" s="68">
        <f t="shared" si="0"/>
        <v>99</v>
      </c>
      <c r="O61" s="69"/>
    </row>
    <row r="62" spans="2:15" ht="14.25" thickBot="1">
      <c r="G62" s="153" t="s">
        <v>824</v>
      </c>
      <c r="H62" s="153"/>
      <c r="I62" s="71" t="s">
        <v>1199</v>
      </c>
    </row>
    <row r="63" spans="2:15" ht="21.75" thickBot="1">
      <c r="B63" s="231" t="s">
        <v>764</v>
      </c>
      <c r="C63" s="232" t="s">
        <v>765</v>
      </c>
      <c r="D63" s="233" t="s">
        <v>1196</v>
      </c>
      <c r="E63" s="234" t="s">
        <v>757</v>
      </c>
      <c r="F63" s="235" t="s">
        <v>4</v>
      </c>
      <c r="G63" s="236" t="s">
        <v>5</v>
      </c>
      <c r="H63" s="235" t="s">
        <v>1197</v>
      </c>
      <c r="I63" s="237" t="s">
        <v>1170</v>
      </c>
      <c r="J63" s="237" t="s">
        <v>1171</v>
      </c>
      <c r="K63" s="238" t="s">
        <v>1172</v>
      </c>
      <c r="L63" s="239" t="s">
        <v>1173</v>
      </c>
      <c r="M63" s="240" t="s">
        <v>1174</v>
      </c>
      <c r="N63" s="241" t="s">
        <v>766</v>
      </c>
      <c r="O63" s="242" t="s">
        <v>1198</v>
      </c>
    </row>
    <row r="64" spans="2:15">
      <c r="B64" s="25">
        <v>42552</v>
      </c>
      <c r="C64" s="177" t="s">
        <v>767</v>
      </c>
      <c r="D64" s="27">
        <v>2418.0431947927332</v>
      </c>
      <c r="E64" s="28">
        <v>88.472505387527704</v>
      </c>
      <c r="F64" s="17">
        <v>41.107145184654904</v>
      </c>
      <c r="G64" s="155">
        <v>440.46163976338255</v>
      </c>
      <c r="H64" s="17">
        <v>289.83074946300445</v>
      </c>
      <c r="I64" s="29">
        <v>3.9971361908115597</v>
      </c>
      <c r="J64" s="30">
        <v>15.204459638966981</v>
      </c>
      <c r="K64" s="31">
        <v>36.047836810369091</v>
      </c>
      <c r="L64" s="31">
        <v>6.3868928925069319</v>
      </c>
      <c r="M64" s="32">
        <v>50.6</v>
      </c>
      <c r="N64" s="33"/>
      <c r="O64" s="34"/>
    </row>
    <row r="65" spans="2:15">
      <c r="B65" s="25">
        <v>42553</v>
      </c>
      <c r="C65" s="26" t="s">
        <v>768</v>
      </c>
      <c r="D65" s="35">
        <v>1787.5496004628781</v>
      </c>
      <c r="E65" s="36">
        <v>55.311034411352701</v>
      </c>
      <c r="F65" s="5">
        <v>33.025196144710392</v>
      </c>
      <c r="G65" s="156">
        <v>335.33669185090446</v>
      </c>
      <c r="H65" s="5">
        <v>34.887946698970318</v>
      </c>
      <c r="I65" s="37">
        <v>3.528538826968755</v>
      </c>
      <c r="J65" s="38">
        <v>10.102209300200986</v>
      </c>
      <c r="K65" s="39">
        <v>30.549940434862052</v>
      </c>
      <c r="L65" s="39">
        <v>4.0730192592512378</v>
      </c>
      <c r="M65" s="40">
        <v>50.8</v>
      </c>
      <c r="N65" s="41">
        <v>94</v>
      </c>
      <c r="O65" s="42">
        <v>5.7000000000000002E-2</v>
      </c>
    </row>
    <row r="66" spans="2:15">
      <c r="B66" s="25">
        <v>42554</v>
      </c>
      <c r="C66" s="45" t="s">
        <v>770</v>
      </c>
      <c r="D66" s="35">
        <v>1808.735633584077</v>
      </c>
      <c r="E66" s="36">
        <v>57.535633854823828</v>
      </c>
      <c r="F66" s="5">
        <v>44.410160764567173</v>
      </c>
      <c r="G66" s="156">
        <v>312.69036841829342</v>
      </c>
      <c r="H66" s="5">
        <v>51.725823356031682</v>
      </c>
      <c r="I66" s="37">
        <v>1.9759638163062259</v>
      </c>
      <c r="J66" s="38">
        <v>6.2654397863538778</v>
      </c>
      <c r="K66" s="39">
        <v>34.197308114254895</v>
      </c>
      <c r="L66" s="39">
        <v>5.9755180099800906</v>
      </c>
      <c r="M66" s="40">
        <v>51.4</v>
      </c>
      <c r="N66" s="41"/>
      <c r="O66" s="42"/>
    </row>
    <row r="67" spans="2:15">
      <c r="B67" s="25">
        <v>42555</v>
      </c>
      <c r="C67" s="26" t="s">
        <v>772</v>
      </c>
      <c r="D67" s="35">
        <v>1917.4397918172303</v>
      </c>
      <c r="E67" s="36">
        <v>79.463818093466074</v>
      </c>
      <c r="F67" s="5">
        <v>47.922732518308933</v>
      </c>
      <c r="G67" s="156">
        <v>307.71932175412724</v>
      </c>
      <c r="H67" s="5">
        <v>87.747025710844639</v>
      </c>
      <c r="I67" s="37">
        <v>2.7668704627566356</v>
      </c>
      <c r="J67" s="38">
        <v>12.113764165439477</v>
      </c>
      <c r="K67" s="39">
        <v>32.976472177942156</v>
      </c>
      <c r="L67" s="39">
        <v>7.9669172157319874</v>
      </c>
      <c r="M67" s="40">
        <v>51.7</v>
      </c>
      <c r="N67" s="41"/>
      <c r="O67" s="42"/>
    </row>
    <row r="68" spans="2:15">
      <c r="B68" s="25">
        <v>42556</v>
      </c>
      <c r="C68" s="26" t="s">
        <v>774</v>
      </c>
      <c r="D68" s="46">
        <v>1835.1921431082847</v>
      </c>
      <c r="E68" s="47">
        <v>96.85574450052205</v>
      </c>
      <c r="F68" s="47">
        <v>44.342181595360522</v>
      </c>
      <c r="G68" s="132">
        <v>271.81891561990869</v>
      </c>
      <c r="H68" s="157">
        <v>152.05913462114705</v>
      </c>
      <c r="I68" s="48">
        <v>2.9762714721363772</v>
      </c>
      <c r="J68" s="49">
        <v>8.4168607810275038</v>
      </c>
      <c r="K68" s="50">
        <v>37.59634003899356</v>
      </c>
      <c r="L68" s="50">
        <v>8.08361899911921</v>
      </c>
      <c r="M68" s="40">
        <v>50.9</v>
      </c>
      <c r="N68" s="41"/>
      <c r="O68" s="42"/>
    </row>
    <row r="69" spans="2:15">
      <c r="B69" s="25">
        <v>42557</v>
      </c>
      <c r="C69" s="26" t="s">
        <v>775</v>
      </c>
      <c r="D69" s="46">
        <v>1896.9853096322913</v>
      </c>
      <c r="E69" s="47">
        <v>72.366752014552162</v>
      </c>
      <c r="F69" s="47">
        <v>31.065717518596962</v>
      </c>
      <c r="G69" s="132">
        <v>346.37087620854896</v>
      </c>
      <c r="H69" s="157">
        <v>21.924956636783545</v>
      </c>
      <c r="I69" s="48">
        <v>1.7165970662527816</v>
      </c>
      <c r="J69" s="49">
        <v>4.9842824721489656</v>
      </c>
      <c r="K69" s="50">
        <v>26.474461378278434</v>
      </c>
      <c r="L69" s="50">
        <v>5.7721970954820829</v>
      </c>
      <c r="M69" s="40">
        <v>50.4</v>
      </c>
      <c r="N69" s="41"/>
      <c r="O69" s="42"/>
    </row>
    <row r="70" spans="2:15">
      <c r="B70" s="25">
        <v>42558</v>
      </c>
      <c r="C70" s="26" t="s">
        <v>776</v>
      </c>
      <c r="D70" s="46">
        <v>1777.8951702824559</v>
      </c>
      <c r="E70" s="47">
        <v>71.528462471389403</v>
      </c>
      <c r="F70" s="47">
        <v>43.875546093911865</v>
      </c>
      <c r="G70" s="132">
        <v>290.61049807618315</v>
      </c>
      <c r="H70" s="157">
        <v>65.393471413385868</v>
      </c>
      <c r="I70" s="48">
        <v>3.8617208985704559</v>
      </c>
      <c r="J70" s="49">
        <v>10.442299220114245</v>
      </c>
      <c r="K70" s="50">
        <v>35.395280074436911</v>
      </c>
      <c r="L70" s="50">
        <v>6.8940398913222101</v>
      </c>
      <c r="M70" s="40">
        <v>50.3</v>
      </c>
      <c r="N70" s="41"/>
      <c r="O70" s="42"/>
    </row>
    <row r="71" spans="2:15">
      <c r="B71" s="25">
        <v>42559</v>
      </c>
      <c r="C71" s="26" t="s">
        <v>767</v>
      </c>
      <c r="D71" s="46">
        <v>1747.2013173445202</v>
      </c>
      <c r="E71" s="47">
        <v>74.46717441734954</v>
      </c>
      <c r="F71" s="47">
        <v>35.563030053678411</v>
      </c>
      <c r="G71" s="132">
        <v>299.32363930991824</v>
      </c>
      <c r="H71" s="157">
        <v>451.24238938053088</v>
      </c>
      <c r="I71" s="48">
        <v>2.7884086339761072</v>
      </c>
      <c r="J71" s="49">
        <v>9.0605430701294694</v>
      </c>
      <c r="K71" s="50">
        <v>35.347259463271186</v>
      </c>
      <c r="L71" s="50">
        <v>4.681884776421315</v>
      </c>
      <c r="M71" s="40">
        <v>51</v>
      </c>
      <c r="N71" s="41"/>
      <c r="O71" s="42"/>
    </row>
    <row r="72" spans="2:15">
      <c r="B72" s="25">
        <v>42560</v>
      </c>
      <c r="C72" s="26" t="s">
        <v>768</v>
      </c>
      <c r="D72" s="46">
        <v>2082.549284957076</v>
      </c>
      <c r="E72" s="47">
        <v>84.715702237293243</v>
      </c>
      <c r="F72" s="47">
        <v>47.491224685599114</v>
      </c>
      <c r="G72" s="132">
        <v>349.01856550393495</v>
      </c>
      <c r="H72" s="157">
        <v>700.14358407079646</v>
      </c>
      <c r="I72" s="48">
        <v>4.7824358059583929</v>
      </c>
      <c r="J72" s="49">
        <v>15.073730489273967</v>
      </c>
      <c r="K72" s="50">
        <v>39.837666403617931</v>
      </c>
      <c r="L72" s="50">
        <v>5.6941040915163352</v>
      </c>
      <c r="M72" s="40">
        <v>51</v>
      </c>
      <c r="N72" s="41"/>
      <c r="O72" s="42"/>
    </row>
    <row r="73" spans="2:15">
      <c r="B73" s="25">
        <v>42561</v>
      </c>
      <c r="C73" s="45" t="s">
        <v>770</v>
      </c>
      <c r="D73" s="51">
        <v>2060.2433718200391</v>
      </c>
      <c r="E73" s="36">
        <v>77.480999301284712</v>
      </c>
      <c r="F73" s="5">
        <v>37.949143022470672</v>
      </c>
      <c r="G73" s="156">
        <v>365.71956790928925</v>
      </c>
      <c r="H73" s="5">
        <v>394.63638579340039</v>
      </c>
      <c r="I73" s="37">
        <v>5.1985972742660529</v>
      </c>
      <c r="J73" s="38">
        <v>17.012408365798255</v>
      </c>
      <c r="K73" s="39">
        <v>36.238412579278936</v>
      </c>
      <c r="L73" s="39">
        <v>7.1404380146704725</v>
      </c>
      <c r="M73" s="40">
        <v>51.4</v>
      </c>
      <c r="N73" s="52"/>
      <c r="O73" s="53"/>
    </row>
    <row r="74" spans="2:15">
      <c r="B74" s="25">
        <v>42562</v>
      </c>
      <c r="C74" s="26" t="s">
        <v>772</v>
      </c>
      <c r="D74" s="46">
        <v>1893.8194424916835</v>
      </c>
      <c r="E74" s="47">
        <v>49.227555350466602</v>
      </c>
      <c r="F74" s="47">
        <v>33.19206289852513</v>
      </c>
      <c r="G74" s="132">
        <v>388.52976109688251</v>
      </c>
      <c r="H74" s="157">
        <v>266.12662721893491</v>
      </c>
      <c r="I74" s="48">
        <v>2.814906994612735</v>
      </c>
      <c r="J74" s="49">
        <v>12.034532107215403</v>
      </c>
      <c r="K74" s="50">
        <v>37.50435330301157</v>
      </c>
      <c r="L74" s="50">
        <v>2.3289644636630058</v>
      </c>
      <c r="M74" s="40">
        <v>51.2</v>
      </c>
      <c r="N74" s="41"/>
      <c r="O74" s="42"/>
    </row>
    <row r="75" spans="2:15">
      <c r="B75" s="25">
        <v>42563</v>
      </c>
      <c r="C75" s="26" t="s">
        <v>774</v>
      </c>
      <c r="D75" s="35">
        <v>1853.3520384274771</v>
      </c>
      <c r="E75" s="36">
        <v>73.657575672883695</v>
      </c>
      <c r="F75" s="5">
        <v>39.570214331565808</v>
      </c>
      <c r="G75" s="156">
        <v>320.6741770939808</v>
      </c>
      <c r="H75" s="5">
        <v>254.80775415574968</v>
      </c>
      <c r="I75" s="37">
        <v>6.3166589302763612</v>
      </c>
      <c r="J75" s="38">
        <v>19.644028770381524</v>
      </c>
      <c r="K75" s="39">
        <v>44.915001310125348</v>
      </c>
      <c r="L75" s="39">
        <v>6.9581702747131402</v>
      </c>
      <c r="M75" s="40">
        <v>50.7</v>
      </c>
      <c r="N75" s="41"/>
      <c r="O75" s="42"/>
    </row>
    <row r="76" spans="2:15">
      <c r="B76" s="25">
        <v>42564</v>
      </c>
      <c r="C76" s="26" t="s">
        <v>775</v>
      </c>
      <c r="D76" s="46">
        <v>1719.3859360086956</v>
      </c>
      <c r="E76" s="47">
        <v>65.164037455075572</v>
      </c>
      <c r="F76" s="47">
        <v>30.164588655157551</v>
      </c>
      <c r="G76" s="132">
        <v>312.11022262486676</v>
      </c>
      <c r="H76" s="157">
        <v>252.15383698241556</v>
      </c>
      <c r="I76" s="48">
        <v>3.7987141012833319</v>
      </c>
      <c r="J76" s="49">
        <v>12.91692839083993</v>
      </c>
      <c r="K76" s="50">
        <v>29.481283912241601</v>
      </c>
      <c r="L76" s="50">
        <v>4.1485795603584954</v>
      </c>
      <c r="M76" s="40">
        <v>51.3</v>
      </c>
      <c r="N76" s="41"/>
      <c r="O76" s="42"/>
    </row>
    <row r="77" spans="2:15">
      <c r="B77" s="25">
        <v>42565</v>
      </c>
      <c r="C77" s="26" t="s">
        <v>776</v>
      </c>
      <c r="D77" s="46">
        <v>1720.1048589684835</v>
      </c>
      <c r="E77" s="47">
        <v>69.571864218063965</v>
      </c>
      <c r="F77" s="47">
        <v>36.445703777066235</v>
      </c>
      <c r="G77" s="132">
        <v>298.47416535979471</v>
      </c>
      <c r="H77" s="157">
        <v>286.41530034175389</v>
      </c>
      <c r="I77" s="48">
        <v>3.9565801926206214</v>
      </c>
      <c r="J77" s="49">
        <v>11.53311490966421</v>
      </c>
      <c r="K77" s="50">
        <v>36.673106545594656</v>
      </c>
      <c r="L77" s="50">
        <v>6.9347121519565231</v>
      </c>
      <c r="M77" s="40">
        <v>50.9</v>
      </c>
      <c r="N77" s="41"/>
      <c r="O77" s="42"/>
    </row>
    <row r="78" spans="2:15">
      <c r="B78" s="25">
        <v>42566</v>
      </c>
      <c r="C78" s="26" t="s">
        <v>767</v>
      </c>
      <c r="D78" s="35">
        <v>2513.6676189328864</v>
      </c>
      <c r="E78" s="36">
        <v>86.366305751868083</v>
      </c>
      <c r="F78" s="5">
        <v>32.271361471132543</v>
      </c>
      <c r="G78" s="156">
        <v>495.2797489179253</v>
      </c>
      <c r="H78" s="5">
        <v>225.45313609467456</v>
      </c>
      <c r="I78" s="37">
        <v>3.5565946745562131</v>
      </c>
      <c r="J78" s="38">
        <v>11.039906804733729</v>
      </c>
      <c r="K78" s="39">
        <v>41.658901981907249</v>
      </c>
      <c r="L78" s="39">
        <v>5.1922443189959013</v>
      </c>
      <c r="M78" s="40">
        <v>50.7</v>
      </c>
      <c r="N78" s="41"/>
      <c r="O78" s="42"/>
    </row>
    <row r="79" spans="2:15">
      <c r="B79" s="25">
        <v>42567</v>
      </c>
      <c r="C79" s="26" t="s">
        <v>768</v>
      </c>
      <c r="D79" s="46">
        <v>1776.0865343273331</v>
      </c>
      <c r="E79" s="47">
        <v>68.400057480291565</v>
      </c>
      <c r="F79" s="47">
        <v>36.450698252637693</v>
      </c>
      <c r="G79" s="132">
        <v>312.56505596712321</v>
      </c>
      <c r="H79" s="157">
        <v>124.54878660310484</v>
      </c>
      <c r="I79" s="48">
        <v>4.914840827184987</v>
      </c>
      <c r="J79" s="49">
        <v>13.528685284492822</v>
      </c>
      <c r="K79" s="50">
        <v>34.78154993980904</v>
      </c>
      <c r="L79" s="50">
        <v>3.776327709075475</v>
      </c>
      <c r="M79" s="40">
        <v>50.8</v>
      </c>
      <c r="N79" s="41"/>
      <c r="O79" s="42"/>
    </row>
    <row r="80" spans="2:15">
      <c r="B80" s="25">
        <v>42568</v>
      </c>
      <c r="C80" s="45" t="s">
        <v>770</v>
      </c>
      <c r="D80" s="46">
        <v>2218.3263819884573</v>
      </c>
      <c r="E80" s="47">
        <v>72.610197081178214</v>
      </c>
      <c r="F80" s="47">
        <v>41.798433913698062</v>
      </c>
      <c r="G80" s="132">
        <v>411.85617709623375</v>
      </c>
      <c r="H80" s="157">
        <v>407.63651392632528</v>
      </c>
      <c r="I80" s="48">
        <v>6.9449350023878331</v>
      </c>
      <c r="J80" s="49">
        <v>16.283355422808253</v>
      </c>
      <c r="K80" s="50">
        <v>42.054930586921152</v>
      </c>
      <c r="L80" s="50">
        <v>3.8876226945873018</v>
      </c>
      <c r="M80" s="40">
        <v>50.8</v>
      </c>
      <c r="N80" s="41"/>
      <c r="O80" s="42"/>
    </row>
    <row r="81" spans="2:15">
      <c r="B81" s="25">
        <v>42569</v>
      </c>
      <c r="C81" s="44" t="s">
        <v>772</v>
      </c>
      <c r="D81" s="46">
        <v>2020.8815094339625</v>
      </c>
      <c r="E81" s="47">
        <v>69.47741629230309</v>
      </c>
      <c r="F81" s="47">
        <v>49.424298891883801</v>
      </c>
      <c r="G81" s="132">
        <v>343.71759239293203</v>
      </c>
      <c r="H81" s="157">
        <v>296.62146451033243</v>
      </c>
      <c r="I81" s="48">
        <v>4.0112153339323147</v>
      </c>
      <c r="J81" s="49">
        <v>10.110993111710091</v>
      </c>
      <c r="K81" s="50">
        <v>33.501120844564241</v>
      </c>
      <c r="L81" s="50">
        <v>2.7519801467037306</v>
      </c>
      <c r="M81" s="40">
        <v>50.8</v>
      </c>
      <c r="N81" s="41"/>
      <c r="O81" s="42"/>
    </row>
    <row r="82" spans="2:15">
      <c r="B82" s="25">
        <v>42570</v>
      </c>
      <c r="C82" s="26" t="s">
        <v>774</v>
      </c>
      <c r="D82" s="35">
        <v>1884.6449893299582</v>
      </c>
      <c r="E82" s="36">
        <v>71.818860613740299</v>
      </c>
      <c r="F82" s="5">
        <v>69.755831918290099</v>
      </c>
      <c r="G82" s="156">
        <v>249.06139393830145</v>
      </c>
      <c r="H82" s="5">
        <v>543.65119801686092</v>
      </c>
      <c r="I82" s="37">
        <v>2.7188752709797317</v>
      </c>
      <c r="J82" s="38">
        <v>9.615074682311592</v>
      </c>
      <c r="K82" s="39">
        <v>25.889627420012225</v>
      </c>
      <c r="L82" s="39">
        <v>7.1966461379069369</v>
      </c>
      <c r="M82" s="40">
        <v>50</v>
      </c>
      <c r="N82" s="52"/>
      <c r="O82" s="53"/>
    </row>
    <row r="83" spans="2:15">
      <c r="B83" s="25">
        <v>42571</v>
      </c>
      <c r="C83" s="26" t="s">
        <v>775</v>
      </c>
      <c r="D83" s="35">
        <v>1816.4415388078623</v>
      </c>
      <c r="E83" s="36">
        <v>81.154536269984874</v>
      </c>
      <c r="F83" s="5">
        <v>54.674901874484611</v>
      </c>
      <c r="G83" s="156">
        <v>258.81999904392666</v>
      </c>
      <c r="H83" s="5">
        <v>465.3894214082635</v>
      </c>
      <c r="I83" s="37">
        <v>2.1044766827899419</v>
      </c>
      <c r="J83" s="38">
        <v>6.7919241713744167</v>
      </c>
      <c r="K83" s="39">
        <v>25.533990966042658</v>
      </c>
      <c r="L83" s="39">
        <v>8.873276682642306</v>
      </c>
      <c r="M83" s="55">
        <v>50.4</v>
      </c>
      <c r="N83" s="41"/>
      <c r="O83" s="42"/>
    </row>
    <row r="84" spans="2:15">
      <c r="B84" s="25">
        <v>42572</v>
      </c>
      <c r="C84" s="26" t="s">
        <v>776</v>
      </c>
      <c r="D84" s="46">
        <v>2037.2421805430768</v>
      </c>
      <c r="E84" s="47">
        <v>87.877687007087943</v>
      </c>
      <c r="F84" s="47">
        <v>36.146893805530596</v>
      </c>
      <c r="G84" s="132">
        <v>356.71679612159335</v>
      </c>
      <c r="H84" s="157">
        <v>147.48561345712289</v>
      </c>
      <c r="I84" s="48">
        <v>4.0281705600479185</v>
      </c>
      <c r="J84" s="49">
        <v>9.5216150044923609</v>
      </c>
      <c r="K84" s="50">
        <v>32.210521413596886</v>
      </c>
      <c r="L84" s="50">
        <v>5.0277576741962751</v>
      </c>
      <c r="M84" s="40">
        <v>50.6</v>
      </c>
      <c r="N84" s="33"/>
      <c r="O84" s="34"/>
    </row>
    <row r="85" spans="2:15">
      <c r="B85" s="25">
        <v>42573</v>
      </c>
      <c r="C85" s="26" t="s">
        <v>767</v>
      </c>
      <c r="D85" s="46">
        <v>1740.7663857171419</v>
      </c>
      <c r="E85" s="47">
        <v>72.880303817934646</v>
      </c>
      <c r="F85" s="47">
        <v>40.241027477953253</v>
      </c>
      <c r="G85" s="132">
        <v>287.14510887553996</v>
      </c>
      <c r="H85" s="157">
        <v>308.37229054190766</v>
      </c>
      <c r="I85" s="48">
        <v>2.9917299509283417</v>
      </c>
      <c r="J85" s="49">
        <v>9.2687887744577537</v>
      </c>
      <c r="K85" s="50">
        <v>36.737347861843432</v>
      </c>
      <c r="L85" s="50">
        <v>5.1872667837510491</v>
      </c>
      <c r="M85" s="40">
        <v>50.6</v>
      </c>
      <c r="N85" s="41"/>
      <c r="O85" s="42"/>
    </row>
    <row r="86" spans="2:15">
      <c r="B86" s="25">
        <v>42574</v>
      </c>
      <c r="C86" s="26" t="s">
        <v>768</v>
      </c>
      <c r="D86" s="46">
        <v>2331.373869446863</v>
      </c>
      <c r="E86" s="47">
        <v>94.03138512346446</v>
      </c>
      <c r="F86" s="47">
        <v>64.289651839876186</v>
      </c>
      <c r="G86" s="132">
        <v>370.32669722671312</v>
      </c>
      <c r="H86" s="157">
        <v>189.80775401069519</v>
      </c>
      <c r="I86" s="48">
        <v>4.2140007185397064</v>
      </c>
      <c r="J86" s="49">
        <v>11.872032610648205</v>
      </c>
      <c r="K86" s="50">
        <v>45.318199104588984</v>
      </c>
      <c r="L86" s="50">
        <v>5.3571269357724303</v>
      </c>
      <c r="M86" s="40">
        <v>50.3</v>
      </c>
      <c r="N86" s="41"/>
      <c r="O86" s="42"/>
    </row>
    <row r="87" spans="2:15">
      <c r="B87" s="25">
        <v>42575</v>
      </c>
      <c r="C87" s="45" t="s">
        <v>770</v>
      </c>
      <c r="D87" s="46">
        <v>1996.6187461438526</v>
      </c>
      <c r="E87" s="47">
        <v>69.448877458517231</v>
      </c>
      <c r="F87" s="47">
        <v>44.380993448689537</v>
      </c>
      <c r="G87" s="132">
        <v>350.23231462658651</v>
      </c>
      <c r="H87" s="157">
        <v>341.18201285156226</v>
      </c>
      <c r="I87" s="48">
        <v>4.2303303251947746</v>
      </c>
      <c r="J87" s="49">
        <v>8.1209050227220345</v>
      </c>
      <c r="K87" s="50">
        <v>34.92806254424989</v>
      </c>
      <c r="L87" s="50">
        <v>5.3485843693224853</v>
      </c>
      <c r="M87" s="40">
        <v>50.8</v>
      </c>
      <c r="N87" s="41"/>
      <c r="O87" s="42"/>
    </row>
    <row r="88" spans="2:15">
      <c r="B88" s="25">
        <v>42576</v>
      </c>
      <c r="C88" s="26" t="s">
        <v>772</v>
      </c>
      <c r="D88" s="46">
        <v>1770.9626911950177</v>
      </c>
      <c r="E88" s="47">
        <v>72.446888121971966</v>
      </c>
      <c r="F88" s="47">
        <v>33.890600280905346</v>
      </c>
      <c r="G88" s="132">
        <v>305.25926834396535</v>
      </c>
      <c r="H88" s="157">
        <v>525.0281418800738</v>
      </c>
      <c r="I88" s="48">
        <v>2.9127067296808611</v>
      </c>
      <c r="J88" s="49">
        <v>6.9851469683293725</v>
      </c>
      <c r="K88" s="50">
        <v>26.085326883648129</v>
      </c>
      <c r="L88" s="50">
        <v>7.6215212413226485</v>
      </c>
      <c r="M88" s="40">
        <v>50.9</v>
      </c>
      <c r="N88" s="41"/>
      <c r="O88" s="42"/>
    </row>
    <row r="89" spans="2:15">
      <c r="B89" s="25">
        <v>42577</v>
      </c>
      <c r="C89" s="26" t="s">
        <v>774</v>
      </c>
      <c r="D89" s="46">
        <v>1781.1491922123496</v>
      </c>
      <c r="E89" s="47">
        <v>76.002111885913209</v>
      </c>
      <c r="F89" s="47">
        <v>39.041399592404396</v>
      </c>
      <c r="G89" s="132">
        <v>294.11662543518906</v>
      </c>
      <c r="H89" s="157">
        <v>381.68813237182985</v>
      </c>
      <c r="I89" s="48">
        <v>2.9405361053512316</v>
      </c>
      <c r="J89" s="49">
        <v>12.802972079740986</v>
      </c>
      <c r="K89" s="50">
        <v>34.48814989632217</v>
      </c>
      <c r="L89" s="50">
        <v>4.5066971313604434</v>
      </c>
      <c r="M89" s="40">
        <v>50.8</v>
      </c>
      <c r="N89" s="41"/>
      <c r="O89" s="42"/>
    </row>
    <row r="90" spans="2:15">
      <c r="B90" s="25">
        <v>42578</v>
      </c>
      <c r="C90" s="26" t="s">
        <v>775</v>
      </c>
      <c r="D90" s="46">
        <v>1984.1206138178809</v>
      </c>
      <c r="E90" s="47">
        <v>74.54956103249161</v>
      </c>
      <c r="F90" s="47">
        <v>29.818913652150734</v>
      </c>
      <c r="G90" s="132">
        <v>373.19216769925163</v>
      </c>
      <c r="H90" s="157">
        <v>237.34240257781434</v>
      </c>
      <c r="I90" s="48">
        <v>3.909931075460487</v>
      </c>
      <c r="J90" s="49">
        <v>17.602822935234698</v>
      </c>
      <c r="K90" s="50">
        <v>46.229362383185375</v>
      </c>
      <c r="L90" s="50">
        <v>3.42942191775139</v>
      </c>
      <c r="M90" s="40">
        <v>50.7</v>
      </c>
      <c r="N90" s="41"/>
      <c r="O90" s="42"/>
    </row>
    <row r="91" spans="2:15">
      <c r="B91" s="25">
        <v>42579</v>
      </c>
      <c r="C91" s="26" t="s">
        <v>776</v>
      </c>
      <c r="D91" s="46">
        <v>2254.0777546173649</v>
      </c>
      <c r="E91" s="47">
        <v>78.69123574848652</v>
      </c>
      <c r="F91" s="47">
        <v>43.512245719795104</v>
      </c>
      <c r="G91" s="132">
        <v>409.60544972593436</v>
      </c>
      <c r="H91" s="157">
        <v>387.41400358571042</v>
      </c>
      <c r="I91" s="48">
        <v>4.103701281948303</v>
      </c>
      <c r="J91" s="49">
        <v>14.160795204237751</v>
      </c>
      <c r="K91" s="50">
        <v>38.976302826904167</v>
      </c>
      <c r="L91" s="50">
        <v>5.7682322164428106</v>
      </c>
      <c r="M91" s="40">
        <v>50.9</v>
      </c>
      <c r="N91" s="41"/>
      <c r="O91" s="42"/>
    </row>
    <row r="92" spans="2:15">
      <c r="B92" s="25">
        <v>42580</v>
      </c>
      <c r="C92" s="26" t="s">
        <v>767</v>
      </c>
      <c r="D92" s="46">
        <v>1812.8446879735545</v>
      </c>
      <c r="E92" s="47">
        <v>58.9685736965221</v>
      </c>
      <c r="F92" s="47">
        <v>31.400118022793073</v>
      </c>
      <c r="G92" s="132">
        <v>341.39692324922771</v>
      </c>
      <c r="H92" s="157">
        <v>429.8827785691883</v>
      </c>
      <c r="I92" s="48">
        <v>2.7508445104771275</v>
      </c>
      <c r="J92" s="49">
        <v>8.881785137026597</v>
      </c>
      <c r="K92" s="50">
        <v>28.75547151152206</v>
      </c>
      <c r="L92" s="50">
        <v>3.6865711220348025</v>
      </c>
      <c r="M92" s="40">
        <v>50.8</v>
      </c>
      <c r="N92" s="41"/>
      <c r="O92" s="42"/>
    </row>
    <row r="93" spans="2:15">
      <c r="B93" s="25">
        <v>42581</v>
      </c>
      <c r="C93" s="26" t="s">
        <v>768</v>
      </c>
      <c r="D93" s="46">
        <v>1798.7192147368419</v>
      </c>
      <c r="E93" s="47">
        <v>86.661576526315798</v>
      </c>
      <c r="F93" s="47">
        <v>32.884753308270675</v>
      </c>
      <c r="G93" s="132">
        <v>307.13000679699246</v>
      </c>
      <c r="H93" s="157">
        <v>387.99466165413537</v>
      </c>
      <c r="I93" s="48">
        <v>4.0239037142857148</v>
      </c>
      <c r="J93" s="49">
        <v>9.1726797142857137</v>
      </c>
      <c r="K93" s="50">
        <v>32.971226285714287</v>
      </c>
      <c r="L93" s="50">
        <v>3.6786941030300753</v>
      </c>
      <c r="M93" s="40">
        <v>50.6</v>
      </c>
      <c r="N93" s="41"/>
      <c r="O93" s="42"/>
    </row>
    <row r="94" spans="2:15" ht="14.25" thickBot="1">
      <c r="B94" s="25">
        <v>42582</v>
      </c>
      <c r="C94" s="45" t="s">
        <v>770</v>
      </c>
      <c r="D94" s="56">
        <v>1840.3781542857141</v>
      </c>
      <c r="E94" s="57">
        <v>70.843722</v>
      </c>
      <c r="F94" s="58">
        <v>35.785667142857143</v>
      </c>
      <c r="G94" s="133">
        <v>327.14258171428571</v>
      </c>
      <c r="H94" s="157">
        <v>373.88</v>
      </c>
      <c r="I94" s="59">
        <v>2.5380060000000002</v>
      </c>
      <c r="J94" s="60">
        <v>7.409198</v>
      </c>
      <c r="K94" s="61">
        <v>32.106561142857139</v>
      </c>
      <c r="L94" s="61">
        <v>3.8750851410215716</v>
      </c>
      <c r="M94" s="62">
        <v>50.6</v>
      </c>
      <c r="N94" s="63"/>
      <c r="O94" s="64"/>
    </row>
    <row r="95" spans="2:15">
      <c r="B95" s="23" t="s">
        <v>778</v>
      </c>
      <c r="D95" s="65">
        <f>SUM(D64:D94)/COUNT(D64:D94)</f>
        <v>1938.606424426066</v>
      </c>
      <c r="E95" s="7">
        <f t="shared" ref="E95:N95" si="1">SUM(E64:E94)/COUNT(E64:E94)</f>
        <v>74.45316629981042</v>
      </c>
      <c r="F95" s="7">
        <f t="shared" si="1"/>
        <v>40.706207672823439</v>
      </c>
      <c r="G95" s="7">
        <f t="shared" si="1"/>
        <v>336.52975218586249</v>
      </c>
      <c r="H95" s="7">
        <f t="shared" si="1"/>
        <v>292.98300960978543</v>
      </c>
      <c r="I95" s="66">
        <f t="shared" si="1"/>
        <v>3.6572322396948995</v>
      </c>
      <c r="J95" s="66">
        <f t="shared" si="1"/>
        <v>11.224944593424553</v>
      </c>
      <c r="K95" s="6">
        <f t="shared" si="1"/>
        <v>35.014883101289264</v>
      </c>
      <c r="L95" s="6">
        <f t="shared" si="1"/>
        <v>5.4259391297616357</v>
      </c>
      <c r="M95" s="67">
        <f t="shared" si="1"/>
        <v>50.796774193548373</v>
      </c>
      <c r="N95" s="68">
        <f t="shared" si="1"/>
        <v>94</v>
      </c>
      <c r="O95" s="69"/>
    </row>
    <row r="96" spans="2:15" ht="14.25" thickBot="1">
      <c r="G96" s="153" t="s">
        <v>823</v>
      </c>
      <c r="H96" s="153"/>
      <c r="I96" s="71" t="s">
        <v>1200</v>
      </c>
    </row>
    <row r="97" spans="2:15" ht="21.75" thickBot="1">
      <c r="B97" s="231" t="s">
        <v>764</v>
      </c>
      <c r="C97" s="232" t="s">
        <v>765</v>
      </c>
      <c r="D97" s="233" t="s">
        <v>1196</v>
      </c>
      <c r="E97" s="234" t="s">
        <v>757</v>
      </c>
      <c r="F97" s="235" t="s">
        <v>4</v>
      </c>
      <c r="G97" s="236" t="s">
        <v>5</v>
      </c>
      <c r="H97" s="235" t="s">
        <v>1197</v>
      </c>
      <c r="I97" s="237" t="s">
        <v>1170</v>
      </c>
      <c r="J97" s="237" t="s">
        <v>1171</v>
      </c>
      <c r="K97" s="238" t="s">
        <v>1172</v>
      </c>
      <c r="L97" s="239" t="s">
        <v>1173</v>
      </c>
      <c r="M97" s="240" t="s">
        <v>1174</v>
      </c>
      <c r="N97" s="241" t="s">
        <v>766</v>
      </c>
      <c r="O97" s="242" t="s">
        <v>1198</v>
      </c>
    </row>
    <row r="98" spans="2:15">
      <c r="B98" s="25">
        <v>42583</v>
      </c>
      <c r="C98" s="26" t="s">
        <v>772</v>
      </c>
      <c r="D98" s="27">
        <v>1810.2913250448805</v>
      </c>
      <c r="E98" s="28">
        <v>54.002334630457938</v>
      </c>
      <c r="F98" s="17">
        <v>30.004952035600184</v>
      </c>
      <c r="G98" s="155">
        <v>352.58125945047925</v>
      </c>
      <c r="H98" s="17">
        <v>330.26857142857142</v>
      </c>
      <c r="I98" s="29">
        <v>2.7182545714285715</v>
      </c>
      <c r="J98" s="30">
        <v>8.6776865714285716</v>
      </c>
      <c r="K98" s="31">
        <v>35.864322019169329</v>
      </c>
      <c r="L98" s="31">
        <v>4.7760769221113808</v>
      </c>
      <c r="M98" s="32">
        <v>50.4</v>
      </c>
      <c r="N98" s="33">
        <v>93</v>
      </c>
      <c r="O98" s="34">
        <v>5.8000000000000003E-2</v>
      </c>
    </row>
    <row r="99" spans="2:15">
      <c r="B99" s="25">
        <v>42584</v>
      </c>
      <c r="C99" s="26" t="s">
        <v>774</v>
      </c>
      <c r="D99" s="35">
        <v>2009.6731638095239</v>
      </c>
      <c r="E99" s="36">
        <v>69.52494866666666</v>
      </c>
      <c r="F99" s="5">
        <v>34.487324285714287</v>
      </c>
      <c r="G99" s="156">
        <v>378.16223314285719</v>
      </c>
      <c r="H99" s="5">
        <v>427.07714285714286</v>
      </c>
      <c r="I99" s="37">
        <v>3.9617431428571432</v>
      </c>
      <c r="J99" s="38">
        <v>12.413095142857143</v>
      </c>
      <c r="K99" s="39">
        <v>35.725195428571425</v>
      </c>
      <c r="L99" s="39">
        <v>4.1144759617954758</v>
      </c>
      <c r="M99" s="40">
        <v>50.8</v>
      </c>
      <c r="N99" s="41"/>
      <c r="O99" s="42"/>
    </row>
    <row r="100" spans="2:15">
      <c r="B100" s="25">
        <v>42585</v>
      </c>
      <c r="C100" s="26" t="s">
        <v>775</v>
      </c>
      <c r="D100" s="35">
        <v>1805.2268861309385</v>
      </c>
      <c r="E100" s="36">
        <v>56.227137185019167</v>
      </c>
      <c r="F100" s="5">
        <v>33.022603274512726</v>
      </c>
      <c r="G100" s="156">
        <v>340.57999672662356</v>
      </c>
      <c r="H100" s="5">
        <v>264.95374317817016</v>
      </c>
      <c r="I100" s="37">
        <v>2.7416736757624398</v>
      </c>
      <c r="J100" s="38">
        <v>9.2534371589085076</v>
      </c>
      <c r="K100" s="39">
        <v>44.538459723854828</v>
      </c>
      <c r="L100" s="39">
        <v>4.9246502793986746</v>
      </c>
      <c r="M100" s="40">
        <v>51.2</v>
      </c>
      <c r="N100" s="41"/>
      <c r="O100" s="42"/>
    </row>
    <row r="101" spans="2:15">
      <c r="B101" s="25">
        <v>42586</v>
      </c>
      <c r="C101" s="26" t="s">
        <v>776</v>
      </c>
      <c r="D101" s="35">
        <v>2027.6791319012013</v>
      </c>
      <c r="E101" s="36">
        <v>82.792404720675862</v>
      </c>
      <c r="F101" s="5">
        <v>35.631033316554841</v>
      </c>
      <c r="G101" s="156">
        <v>361.5376348330235</v>
      </c>
      <c r="H101" s="5">
        <v>524.88719910728514</v>
      </c>
      <c r="I101" s="37">
        <v>3.5611814737117804</v>
      </c>
      <c r="J101" s="38">
        <v>11.170909391326632</v>
      </c>
      <c r="K101" s="39">
        <v>33.790520207485173</v>
      </c>
      <c r="L101" s="39">
        <v>9.5366417792075335</v>
      </c>
      <c r="M101" s="40">
        <v>51.5</v>
      </c>
      <c r="N101" s="41"/>
      <c r="O101" s="42"/>
    </row>
    <row r="102" spans="2:15">
      <c r="B102" s="25">
        <v>42587</v>
      </c>
      <c r="C102" s="26" t="s">
        <v>767</v>
      </c>
      <c r="D102" s="46">
        <v>2436.3408370786519</v>
      </c>
      <c r="E102" s="47">
        <v>109.42025421348316</v>
      </c>
      <c r="F102" s="47">
        <v>41.658219662921354</v>
      </c>
      <c r="G102" s="132">
        <v>432.1289758426966</v>
      </c>
      <c r="H102" s="157">
        <v>130.96651685393257</v>
      </c>
      <c r="I102" s="48">
        <v>5.0913429775280896</v>
      </c>
      <c r="J102" s="49">
        <v>15.390625842696627</v>
      </c>
      <c r="K102" s="50">
        <v>50.457269943820229</v>
      </c>
      <c r="L102" s="50">
        <v>13.347424272876404</v>
      </c>
      <c r="M102" s="40">
        <v>51.1</v>
      </c>
      <c r="N102" s="41"/>
      <c r="O102" s="42"/>
    </row>
    <row r="103" spans="2:15">
      <c r="B103" s="25">
        <v>42588</v>
      </c>
      <c r="C103" s="26" t="s">
        <v>768</v>
      </c>
      <c r="D103" s="46">
        <v>2002.7025902580567</v>
      </c>
      <c r="E103" s="47">
        <v>67.018626265588338</v>
      </c>
      <c r="F103" s="47">
        <v>47.983107920730959</v>
      </c>
      <c r="G103" s="132">
        <v>346.44740025311768</v>
      </c>
      <c r="H103" s="157">
        <v>284.31573033707861</v>
      </c>
      <c r="I103" s="48">
        <v>3.814087359550562</v>
      </c>
      <c r="J103" s="49">
        <v>12.596086516853932</v>
      </c>
      <c r="K103" s="50">
        <v>40.108369085689588</v>
      </c>
      <c r="L103" s="50">
        <v>4.498705066588462</v>
      </c>
      <c r="M103" s="40">
        <v>51</v>
      </c>
      <c r="N103" s="41"/>
      <c r="O103" s="42"/>
    </row>
    <row r="104" spans="2:15">
      <c r="B104" s="25">
        <v>42589</v>
      </c>
      <c r="C104" s="45" t="s">
        <v>770</v>
      </c>
      <c r="D104" s="46">
        <v>1892.1278726591759</v>
      </c>
      <c r="E104" s="47">
        <v>67.734615074906372</v>
      </c>
      <c r="F104" s="47">
        <v>28.326331460674162</v>
      </c>
      <c r="G104" s="132">
        <v>360.97427134831463</v>
      </c>
      <c r="H104" s="157">
        <v>311.97842696629215</v>
      </c>
      <c r="I104" s="48">
        <v>3.3324887640449439</v>
      </c>
      <c r="J104" s="49">
        <v>10.096921348314606</v>
      </c>
      <c r="K104" s="50">
        <v>33.079621910112365</v>
      </c>
      <c r="L104" s="50">
        <v>4.1051076888479141</v>
      </c>
      <c r="M104" s="40">
        <v>52.1</v>
      </c>
      <c r="N104" s="41"/>
      <c r="O104" s="42"/>
    </row>
    <row r="105" spans="2:15">
      <c r="B105" s="25">
        <v>42590</v>
      </c>
      <c r="C105" s="26" t="s">
        <v>772</v>
      </c>
      <c r="D105" s="46">
        <v>1768.4264770953434</v>
      </c>
      <c r="E105" s="47">
        <v>73.667422272151214</v>
      </c>
      <c r="F105" s="47">
        <v>36.846350795944545</v>
      </c>
      <c r="G105" s="132">
        <v>286.1020443650217</v>
      </c>
      <c r="H105" s="157">
        <v>295.81490449438201</v>
      </c>
      <c r="I105" s="48">
        <v>2.3459564606741572</v>
      </c>
      <c r="J105" s="49">
        <v>7.2363202247191012</v>
      </c>
      <c r="K105" s="50">
        <v>27.904052253244313</v>
      </c>
      <c r="L105" s="50">
        <v>8.1837380790600935</v>
      </c>
      <c r="M105" s="40">
        <v>51.7</v>
      </c>
      <c r="N105" s="41"/>
      <c r="O105" s="42"/>
    </row>
    <row r="106" spans="2:15">
      <c r="B106" s="25">
        <v>42591</v>
      </c>
      <c r="C106" s="26" t="s">
        <v>774</v>
      </c>
      <c r="D106" s="46">
        <v>2435.5102148202432</v>
      </c>
      <c r="E106" s="47">
        <v>89.162124654331137</v>
      </c>
      <c r="F106" s="47">
        <v>65.056513904272308</v>
      </c>
      <c r="G106" s="132">
        <v>389.67130131537863</v>
      </c>
      <c r="H106" s="157">
        <v>280.98539522103914</v>
      </c>
      <c r="I106" s="48">
        <v>3.8863252808988764</v>
      </c>
      <c r="J106" s="49">
        <v>12.323826966292133</v>
      </c>
      <c r="K106" s="50">
        <v>37.110327354593153</v>
      </c>
      <c r="L106" s="50">
        <v>9.3421624548386948</v>
      </c>
      <c r="M106" s="40">
        <v>51.6</v>
      </c>
      <c r="N106" s="41"/>
      <c r="O106" s="42"/>
    </row>
    <row r="107" spans="2:15">
      <c r="B107" s="25">
        <v>42592</v>
      </c>
      <c r="C107" s="26" t="s">
        <v>775</v>
      </c>
      <c r="D107" s="51">
        <v>1768.5425670545471</v>
      </c>
      <c r="E107" s="36">
        <v>68.912280981229856</v>
      </c>
      <c r="F107" s="5">
        <v>44.716204744680162</v>
      </c>
      <c r="G107" s="156">
        <v>286.50424994617828</v>
      </c>
      <c r="H107" s="5">
        <v>292.91565972233622</v>
      </c>
      <c r="I107" s="37">
        <v>4.4862083369735508</v>
      </c>
      <c r="J107" s="38">
        <v>9.0244315684026937</v>
      </c>
      <c r="K107" s="39">
        <v>37.758887590569032</v>
      </c>
      <c r="L107" s="39">
        <v>4.9932254017385871</v>
      </c>
      <c r="M107" s="40">
        <v>51.9</v>
      </c>
      <c r="N107" s="52"/>
      <c r="O107" s="53"/>
    </row>
    <row r="108" spans="2:15">
      <c r="B108" s="25">
        <v>42593</v>
      </c>
      <c r="C108" s="44" t="s">
        <v>776</v>
      </c>
      <c r="D108" s="46">
        <v>1815.1130357959298</v>
      </c>
      <c r="E108" s="47">
        <v>74.161683530831439</v>
      </c>
      <c r="F108" s="47">
        <v>45.536988097111895</v>
      </c>
      <c r="G108" s="132">
        <v>292.57648047386692</v>
      </c>
      <c r="H108" s="157">
        <v>114.50520475344591</v>
      </c>
      <c r="I108" s="48">
        <v>3.0734495761473255</v>
      </c>
      <c r="J108" s="49">
        <v>11.929184448991524</v>
      </c>
      <c r="K108" s="50">
        <v>28.905837052657954</v>
      </c>
      <c r="L108" s="50">
        <v>6.234529239082363</v>
      </c>
      <c r="M108" s="40">
        <v>51.5</v>
      </c>
      <c r="N108" s="41"/>
      <c r="O108" s="42"/>
    </row>
    <row r="109" spans="2:15">
      <c r="B109" s="25">
        <v>42594</v>
      </c>
      <c r="C109" s="26" t="s">
        <v>767</v>
      </c>
      <c r="D109" s="35">
        <v>1797.6003809527192</v>
      </c>
      <c r="E109" s="36">
        <v>59.011768577680428</v>
      </c>
      <c r="F109" s="5">
        <v>28.386911887021522</v>
      </c>
      <c r="G109" s="156">
        <v>337.49855865661237</v>
      </c>
      <c r="H109" s="5">
        <v>258.73781935106695</v>
      </c>
      <c r="I109" s="37">
        <v>2.5095936860567081</v>
      </c>
      <c r="J109" s="38">
        <v>8.4864717918737202</v>
      </c>
      <c r="K109" s="39">
        <v>29.780466424770601</v>
      </c>
      <c r="L109" s="39">
        <v>5.5522272497504144</v>
      </c>
      <c r="M109" s="40">
        <v>51.2</v>
      </c>
      <c r="N109" s="41"/>
      <c r="O109" s="42"/>
    </row>
    <row r="110" spans="2:15">
      <c r="B110" s="25">
        <v>42595</v>
      </c>
      <c r="C110" s="26" t="s">
        <v>768</v>
      </c>
      <c r="D110" s="46">
        <v>2589.5972398581325</v>
      </c>
      <c r="E110" s="47">
        <v>91.363673027787783</v>
      </c>
      <c r="F110" s="47">
        <v>58.955243519884235</v>
      </c>
      <c r="G110" s="132">
        <v>435.3056124235959</v>
      </c>
      <c r="H110" s="157">
        <v>431.12370359543991</v>
      </c>
      <c r="I110" s="48">
        <v>4.1698187664425603</v>
      </c>
      <c r="J110" s="49">
        <v>15.460764396375328</v>
      </c>
      <c r="K110" s="50">
        <v>38.916151825268685</v>
      </c>
      <c r="L110" s="50">
        <v>6.7324603223076114</v>
      </c>
      <c r="M110" s="40">
        <v>50.6</v>
      </c>
      <c r="N110" s="41"/>
      <c r="O110" s="42"/>
    </row>
    <row r="111" spans="2:15">
      <c r="B111" s="25">
        <v>42596</v>
      </c>
      <c r="C111" s="45" t="s">
        <v>770</v>
      </c>
      <c r="D111" s="46">
        <v>3071.3862351581965</v>
      </c>
      <c r="E111" s="47">
        <v>74.685957983602677</v>
      </c>
      <c r="F111" s="47">
        <v>42.809138347183364</v>
      </c>
      <c r="G111" s="132">
        <v>628.081624813129</v>
      </c>
      <c r="H111" s="157">
        <v>83.409213680210456</v>
      </c>
      <c r="I111" s="48">
        <v>6.2137006723180352</v>
      </c>
      <c r="J111" s="49">
        <v>12.600810874013446</v>
      </c>
      <c r="K111" s="50">
        <v>33.979992458345514</v>
      </c>
      <c r="L111" s="50">
        <v>4.6230806781501732</v>
      </c>
      <c r="M111" s="40">
        <v>51.2</v>
      </c>
      <c r="N111" s="41" t="s">
        <v>1220</v>
      </c>
      <c r="O111" s="42" t="s">
        <v>1221</v>
      </c>
    </row>
    <row r="112" spans="2:15">
      <c r="B112" s="25">
        <v>42597</v>
      </c>
      <c r="C112" s="26" t="s">
        <v>772</v>
      </c>
      <c r="D112" s="35">
        <v>2148.429912614974</v>
      </c>
      <c r="E112" s="36">
        <v>66.718581379281076</v>
      </c>
      <c r="F112" s="5">
        <v>42.334341113552341</v>
      </c>
      <c r="G112" s="156">
        <v>399.46246842391497</v>
      </c>
      <c r="H112" s="5">
        <v>260.06273019584921</v>
      </c>
      <c r="I112" s="37">
        <v>5.5474728515054075</v>
      </c>
      <c r="J112" s="38">
        <v>14.99151470695703</v>
      </c>
      <c r="K112" s="39">
        <v>40.407897495698435</v>
      </c>
      <c r="L112" s="39">
        <v>4.352331377024691</v>
      </c>
      <c r="M112" s="40">
        <v>52.1</v>
      </c>
      <c r="N112" s="41"/>
      <c r="O112" s="42"/>
    </row>
    <row r="113" spans="2:15">
      <c r="B113" s="25">
        <v>42598</v>
      </c>
      <c r="C113" s="26" t="s">
        <v>774</v>
      </c>
      <c r="D113" s="46">
        <v>1743.5569056017086</v>
      </c>
      <c r="E113" s="47">
        <v>78.256422788067397</v>
      </c>
      <c r="F113" s="47">
        <v>42.421498186866053</v>
      </c>
      <c r="G113" s="132">
        <v>295.90220163994945</v>
      </c>
      <c r="H113" s="157">
        <v>150.19331482022801</v>
      </c>
      <c r="I113" s="48">
        <v>3.5840090616778726</v>
      </c>
      <c r="J113" s="49">
        <v>8.3827117801812321</v>
      </c>
      <c r="K113" s="50">
        <v>37.120746705581126</v>
      </c>
      <c r="L113" s="50">
        <v>3.6631059382361046</v>
      </c>
      <c r="M113" s="40">
        <v>52.1</v>
      </c>
      <c r="N113" s="41"/>
      <c r="O113" s="42"/>
    </row>
    <row r="114" spans="2:15">
      <c r="B114" s="25">
        <v>42599</v>
      </c>
      <c r="C114" s="26" t="s">
        <v>775</v>
      </c>
      <c r="D114" s="46">
        <v>1792.3181145199924</v>
      </c>
      <c r="E114" s="47">
        <v>62.719734952293152</v>
      </c>
      <c r="F114" s="47">
        <v>33.921371033146919</v>
      </c>
      <c r="G114" s="132">
        <v>325.39308849831832</v>
      </c>
      <c r="H114" s="157">
        <v>179.481297866121</v>
      </c>
      <c r="I114" s="48">
        <v>3.5826278865828702</v>
      </c>
      <c r="J114" s="49">
        <v>8.6554162525577318</v>
      </c>
      <c r="K114" s="50">
        <v>30.332190004208009</v>
      </c>
      <c r="L114" s="50">
        <v>5.1870074528548509</v>
      </c>
      <c r="M114" s="40">
        <v>51.5</v>
      </c>
      <c r="N114" s="41"/>
      <c r="O114" s="42"/>
    </row>
    <row r="115" spans="2:15">
      <c r="B115" s="25">
        <v>42600</v>
      </c>
      <c r="C115" s="26" t="s">
        <v>776</v>
      </c>
      <c r="D115" s="46">
        <v>1975.2935252081929</v>
      </c>
      <c r="E115" s="47">
        <v>59.366524426214255</v>
      </c>
      <c r="F115" s="47">
        <v>30.929471530669979</v>
      </c>
      <c r="G115" s="132">
        <v>380.68970237157231</v>
      </c>
      <c r="H115" s="157">
        <v>241.31272929405225</v>
      </c>
      <c r="I115" s="48">
        <v>3.8666014452473592</v>
      </c>
      <c r="J115" s="49">
        <v>13.25043579766537</v>
      </c>
      <c r="K115" s="50">
        <v>40.225011458938184</v>
      </c>
      <c r="L115" s="50">
        <v>2.0014107489100854</v>
      </c>
      <c r="M115" s="40">
        <v>51.4</v>
      </c>
      <c r="N115" s="41"/>
      <c r="O115" s="42"/>
    </row>
    <row r="116" spans="2:15">
      <c r="B116" s="25">
        <v>42601</v>
      </c>
      <c r="C116" s="26" t="s">
        <v>767</v>
      </c>
      <c r="D116" s="35">
        <v>2025.7721277200769</v>
      </c>
      <c r="E116" s="36">
        <v>78.427090550989604</v>
      </c>
      <c r="F116" s="5">
        <v>43.370151899251539</v>
      </c>
      <c r="G116" s="156">
        <v>351.72823625765943</v>
      </c>
      <c r="H116" s="5">
        <v>425.43755536900704</v>
      </c>
      <c r="I116" s="37">
        <v>5.6278726427758432</v>
      </c>
      <c r="J116" s="38">
        <v>14.839736391721779</v>
      </c>
      <c r="K116" s="39">
        <v>39.321174020529412</v>
      </c>
      <c r="L116" s="39">
        <v>7.3637467896701763</v>
      </c>
      <c r="M116" s="40">
        <v>50.5</v>
      </c>
      <c r="N116" s="52"/>
      <c r="O116" s="53"/>
    </row>
    <row r="117" spans="2:15">
      <c r="B117" s="25">
        <v>42602</v>
      </c>
      <c r="C117" s="26" t="s">
        <v>768</v>
      </c>
      <c r="D117" s="35">
        <v>1876.9353613118399</v>
      </c>
      <c r="E117" s="36">
        <v>63.784970817120623</v>
      </c>
      <c r="F117" s="5">
        <v>38.363779877709845</v>
      </c>
      <c r="G117" s="156">
        <v>339.49987993329626</v>
      </c>
      <c r="H117" s="5">
        <v>113.22614785992218</v>
      </c>
      <c r="I117" s="37">
        <v>3.9042957198443577</v>
      </c>
      <c r="J117" s="38">
        <v>10.831478599221789</v>
      </c>
      <c r="K117" s="39">
        <v>35.806694274597</v>
      </c>
      <c r="L117" s="39">
        <v>3.1164582106175658</v>
      </c>
      <c r="M117" s="55">
        <v>51.2</v>
      </c>
      <c r="N117" s="41"/>
      <c r="O117" s="42"/>
    </row>
    <row r="118" spans="2:15">
      <c r="B118" s="25">
        <v>42603</v>
      </c>
      <c r="C118" s="45" t="s">
        <v>770</v>
      </c>
      <c r="D118" s="46">
        <v>1797.4964574843502</v>
      </c>
      <c r="E118" s="47">
        <v>55.938750472719263</v>
      </c>
      <c r="F118" s="47">
        <v>55.276328949275609</v>
      </c>
      <c r="G118" s="132">
        <v>287.42541164782119</v>
      </c>
      <c r="H118" s="157">
        <v>310.3374898853794</v>
      </c>
      <c r="I118" s="48">
        <v>2.9476951414639636</v>
      </c>
      <c r="J118" s="49">
        <v>13.940328148549474</v>
      </c>
      <c r="K118" s="50">
        <v>32.658339554323426</v>
      </c>
      <c r="L118" s="50">
        <v>3.1971308992714991</v>
      </c>
      <c r="M118" s="40">
        <v>51.7</v>
      </c>
      <c r="N118" s="33"/>
      <c r="O118" s="34"/>
    </row>
    <row r="119" spans="2:15">
      <c r="B119" s="25">
        <v>42604</v>
      </c>
      <c r="C119" s="26" t="s">
        <v>772</v>
      </c>
      <c r="D119" s="46">
        <v>1856.5415251065406</v>
      </c>
      <c r="E119" s="47">
        <v>71.433433778024835</v>
      </c>
      <c r="F119" s="47">
        <v>23.058874374652586</v>
      </c>
      <c r="G119" s="132">
        <v>355.41727693162863</v>
      </c>
      <c r="H119" s="157">
        <v>197.82423012784881</v>
      </c>
      <c r="I119" s="48">
        <v>5.0721745414118953</v>
      </c>
      <c r="J119" s="49">
        <v>11.073015564202336</v>
      </c>
      <c r="K119" s="50">
        <v>26.826129488604778</v>
      </c>
      <c r="L119" s="50">
        <v>3.2623505366432433</v>
      </c>
      <c r="M119" s="40">
        <v>51.4</v>
      </c>
      <c r="N119" s="41"/>
      <c r="O119" s="42"/>
    </row>
    <row r="120" spans="2:15">
      <c r="B120" s="25">
        <v>42605</v>
      </c>
      <c r="C120" s="26" t="s">
        <v>774</v>
      </c>
      <c r="D120" s="46">
        <v>1890.8252391519316</v>
      </c>
      <c r="E120" s="47">
        <v>70.550999116150876</v>
      </c>
      <c r="F120" s="47">
        <v>48.736080147710489</v>
      </c>
      <c r="G120" s="132">
        <v>307.49487195012483</v>
      </c>
      <c r="H120" s="157">
        <v>346.18327929931047</v>
      </c>
      <c r="I120" s="48">
        <v>4.8475810626433189</v>
      </c>
      <c r="J120" s="49">
        <v>10.944016931328214</v>
      </c>
      <c r="K120" s="50">
        <v>39.623088956964445</v>
      </c>
      <c r="L120" s="50">
        <v>6.1231987985241245</v>
      </c>
      <c r="M120" s="40">
        <v>51.2</v>
      </c>
      <c r="N120" s="41"/>
      <c r="O120" s="42"/>
    </row>
    <row r="121" spans="2:15">
      <c r="B121" s="25">
        <v>42606</v>
      </c>
      <c r="C121" s="26" t="s">
        <v>775</v>
      </c>
      <c r="D121" s="46">
        <v>1827.5443202297788</v>
      </c>
      <c r="E121" s="47">
        <v>67.950749144245506</v>
      </c>
      <c r="F121" s="47">
        <v>38.522046166362564</v>
      </c>
      <c r="G121" s="132">
        <v>317.53461060558766</v>
      </c>
      <c r="H121" s="157">
        <v>158.56724197587923</v>
      </c>
      <c r="I121" s="48">
        <v>2.886956383540169</v>
      </c>
      <c r="J121" s="49">
        <v>9.9864037074279715</v>
      </c>
      <c r="K121" s="50">
        <v>36.26869137714759</v>
      </c>
      <c r="L121" s="50">
        <v>3.5930479325431461</v>
      </c>
      <c r="M121" s="40">
        <v>51.6</v>
      </c>
      <c r="N121" s="41"/>
      <c r="O121" s="42"/>
    </row>
    <row r="122" spans="2:15">
      <c r="B122" s="25">
        <v>42607</v>
      </c>
      <c r="C122" s="26" t="s">
        <v>776</v>
      </c>
      <c r="D122" s="46">
        <v>1914.8553207753077</v>
      </c>
      <c r="E122" s="47">
        <v>67.909594625634981</v>
      </c>
      <c r="F122" s="47">
        <v>36.260203786229397</v>
      </c>
      <c r="G122" s="132">
        <v>341.93672574176321</v>
      </c>
      <c r="H122" s="157">
        <v>103.74504001293347</v>
      </c>
      <c r="I122" s="48">
        <v>3.4728273765257454</v>
      </c>
      <c r="J122" s="49">
        <v>11.897854029585318</v>
      </c>
      <c r="K122" s="50">
        <v>32.323053008102796</v>
      </c>
      <c r="L122" s="50">
        <v>3.8246288913747595</v>
      </c>
      <c r="M122" s="40">
        <v>51.4</v>
      </c>
      <c r="N122" s="41"/>
      <c r="O122" s="42"/>
    </row>
    <row r="123" spans="2:15">
      <c r="B123" s="25">
        <v>42608</v>
      </c>
      <c r="C123" s="26" t="s">
        <v>767</v>
      </c>
      <c r="D123" s="46">
        <v>1990.6034747160513</v>
      </c>
      <c r="E123" s="47">
        <v>76.228512941782867</v>
      </c>
      <c r="F123" s="47">
        <v>32.203988959850676</v>
      </c>
      <c r="G123" s="132">
        <v>369.24158855298958</v>
      </c>
      <c r="H123" s="157">
        <v>79.170486891385778</v>
      </c>
      <c r="I123" s="48">
        <v>3.637435971830814</v>
      </c>
      <c r="J123" s="49">
        <v>9.9401244860862015</v>
      </c>
      <c r="K123" s="50">
        <v>42.008110644572952</v>
      </c>
      <c r="L123" s="50">
        <v>9.5320506556630793</v>
      </c>
      <c r="M123" s="40">
        <v>51.2</v>
      </c>
      <c r="N123" s="41"/>
      <c r="O123" s="42"/>
    </row>
    <row r="124" spans="2:15">
      <c r="B124" s="25">
        <v>42609</v>
      </c>
      <c r="C124" s="26" t="s">
        <v>768</v>
      </c>
      <c r="D124" s="46">
        <v>1862.1653311931514</v>
      </c>
      <c r="E124" s="47">
        <v>67.942668352059911</v>
      </c>
      <c r="F124" s="47">
        <v>28.811499678972712</v>
      </c>
      <c r="G124" s="132">
        <v>341.21832423756018</v>
      </c>
      <c r="H124" s="157">
        <v>295.77447191011237</v>
      </c>
      <c r="I124" s="48">
        <v>3.7516634831460673</v>
      </c>
      <c r="J124" s="49">
        <v>9.8674044943820221</v>
      </c>
      <c r="K124" s="50">
        <v>30.675040690208668</v>
      </c>
      <c r="L124" s="50">
        <v>4.6180356284557798</v>
      </c>
      <c r="M124" s="40">
        <v>51.7</v>
      </c>
      <c r="N124" s="41"/>
      <c r="O124" s="42"/>
    </row>
    <row r="125" spans="2:15">
      <c r="B125" s="25">
        <v>42610</v>
      </c>
      <c r="C125" s="45" t="s">
        <v>770</v>
      </c>
      <c r="D125" s="46">
        <v>1957.5373044408775</v>
      </c>
      <c r="E125" s="47">
        <v>68.757125133761377</v>
      </c>
      <c r="F125" s="47">
        <v>50.323368523274475</v>
      </c>
      <c r="G125" s="132">
        <v>326.10599339753878</v>
      </c>
      <c r="H125" s="157">
        <v>124.21337078651685</v>
      </c>
      <c r="I125" s="48">
        <v>5.3361051177100043</v>
      </c>
      <c r="J125" s="49">
        <v>17.724679721776347</v>
      </c>
      <c r="K125" s="50">
        <v>40.912792174959868</v>
      </c>
      <c r="L125" s="50">
        <v>2.9981216816395486</v>
      </c>
      <c r="M125" s="40">
        <v>51.8</v>
      </c>
      <c r="N125" s="41"/>
      <c r="O125" s="42"/>
    </row>
    <row r="126" spans="2:15">
      <c r="B126" s="25">
        <v>42611</v>
      </c>
      <c r="C126" s="26" t="s">
        <v>772</v>
      </c>
      <c r="D126" s="46">
        <v>1964.0614365517681</v>
      </c>
      <c r="E126" s="47">
        <v>60.721691173109882</v>
      </c>
      <c r="F126" s="47">
        <v>35.104008703104171</v>
      </c>
      <c r="G126" s="132">
        <v>373.21686749190633</v>
      </c>
      <c r="H126" s="157">
        <v>278.99146067415734</v>
      </c>
      <c r="I126" s="48">
        <v>3.6266488764044942</v>
      </c>
      <c r="J126" s="49">
        <v>8.5669662921348309</v>
      </c>
      <c r="K126" s="50">
        <v>38.082066796800611</v>
      </c>
      <c r="L126" s="50">
        <v>2.7248122802785693</v>
      </c>
      <c r="M126" s="40">
        <v>51.4</v>
      </c>
      <c r="N126" s="41"/>
      <c r="O126" s="42"/>
    </row>
    <row r="127" spans="2:15">
      <c r="B127" s="25">
        <v>42612</v>
      </c>
      <c r="C127" s="26" t="s">
        <v>774</v>
      </c>
      <c r="D127" s="46">
        <v>1844.2094383024787</v>
      </c>
      <c r="E127" s="47">
        <v>75.37010585151701</v>
      </c>
      <c r="F127" s="47">
        <v>26.499457047780375</v>
      </c>
      <c r="G127" s="132">
        <v>342.31264382924553</v>
      </c>
      <c r="H127" s="157">
        <v>136.07831460674157</v>
      </c>
      <c r="I127" s="48">
        <v>5.2433089887640456</v>
      </c>
      <c r="J127" s="49">
        <v>12.177269662921347</v>
      </c>
      <c r="K127" s="50">
        <v>39.476906749591556</v>
      </c>
      <c r="L127" s="50">
        <v>3.2438969038851244</v>
      </c>
      <c r="M127" s="40">
        <v>51.3</v>
      </c>
      <c r="N127" s="41"/>
      <c r="O127" s="42"/>
    </row>
    <row r="128" spans="2:15" ht="14.25" thickBot="1">
      <c r="B128" s="25">
        <v>42613</v>
      </c>
      <c r="C128" s="26" t="s">
        <v>775</v>
      </c>
      <c r="D128" s="56">
        <v>1808.2114330169359</v>
      </c>
      <c r="E128" s="57">
        <v>49.577632337700088</v>
      </c>
      <c r="F128" s="58">
        <v>25.831398241270669</v>
      </c>
      <c r="G128" s="133">
        <v>361.54700432732943</v>
      </c>
      <c r="H128" s="157">
        <v>258.11460674157303</v>
      </c>
      <c r="I128" s="59">
        <v>3.4110887640449437</v>
      </c>
      <c r="J128" s="60">
        <v>12.840662921348313</v>
      </c>
      <c r="K128" s="61">
        <v>32.271920034613295</v>
      </c>
      <c r="L128" s="61">
        <v>2.5149726230547955</v>
      </c>
      <c r="M128" s="62">
        <v>51.2</v>
      </c>
      <c r="N128" s="63"/>
      <c r="O128" s="64"/>
    </row>
    <row r="129" spans="2:15">
      <c r="B129" s="23" t="s">
        <v>778</v>
      </c>
      <c r="D129" s="65">
        <f>SUM(D98:D128)/COUNT(D98:D128)</f>
        <v>1984.0830705020483</v>
      </c>
      <c r="E129" s="7">
        <f t="shared" ref="E129:N129" si="2">SUM(E98:E128)/COUNT(E98:E128)</f>
        <v>70.301284504034982</v>
      </c>
      <c r="F129" s="7">
        <f t="shared" si="2"/>
        <v>38.883509402338284</v>
      </c>
      <c r="G129" s="7">
        <f t="shared" si="2"/>
        <v>356.26704965900331</v>
      </c>
      <c r="H129" s="7">
        <f t="shared" si="2"/>
        <v>248.08558064075521</v>
      </c>
      <c r="I129" s="66">
        <f t="shared" si="2"/>
        <v>3.9436190341778676</v>
      </c>
      <c r="J129" s="66">
        <f t="shared" si="2"/>
        <v>11.50227715261617</v>
      </c>
      <c r="K129" s="6">
        <f t="shared" si="2"/>
        <v>36.201913764954654</v>
      </c>
      <c r="L129" s="6">
        <f t="shared" si="2"/>
        <v>5.2348649272387409</v>
      </c>
      <c r="M129" s="67">
        <f t="shared" si="2"/>
        <v>51.370967741935502</v>
      </c>
      <c r="N129" s="68">
        <f t="shared" si="2"/>
        <v>93</v>
      </c>
      <c r="O129" s="69"/>
    </row>
    <row r="130" spans="2:15" ht="14.25" thickBot="1">
      <c r="G130" s="153" t="s">
        <v>1240</v>
      </c>
      <c r="H130" s="153"/>
      <c r="I130" s="71" t="s">
        <v>1241</v>
      </c>
    </row>
    <row r="131" spans="2:15" ht="21.75" thickBot="1">
      <c r="B131" s="231" t="s">
        <v>764</v>
      </c>
      <c r="C131" s="232" t="s">
        <v>765</v>
      </c>
      <c r="D131" s="233" t="s">
        <v>1169</v>
      </c>
      <c r="E131" s="234" t="s">
        <v>757</v>
      </c>
      <c r="F131" s="235" t="s">
        <v>4</v>
      </c>
      <c r="G131" s="236" t="s">
        <v>5</v>
      </c>
      <c r="H131" s="235" t="s">
        <v>1148</v>
      </c>
      <c r="I131" s="237" t="s">
        <v>1170</v>
      </c>
      <c r="J131" s="237" t="s">
        <v>1171</v>
      </c>
      <c r="K131" s="238" t="s">
        <v>1172</v>
      </c>
      <c r="L131" s="239" t="s">
        <v>1173</v>
      </c>
      <c r="M131" s="240" t="s">
        <v>1174</v>
      </c>
      <c r="N131" s="241" t="s">
        <v>766</v>
      </c>
      <c r="O131" s="242" t="s">
        <v>1198</v>
      </c>
    </row>
    <row r="132" spans="2:15">
      <c r="B132" s="25">
        <v>42614</v>
      </c>
      <c r="C132" s="26" t="s">
        <v>776</v>
      </c>
      <c r="D132" s="27">
        <v>1853.803142442297</v>
      </c>
      <c r="E132" s="28">
        <v>71.202119281756609</v>
      </c>
      <c r="F132" s="17">
        <v>35.292094015272653</v>
      </c>
      <c r="G132" s="155">
        <v>327.59349773324669</v>
      </c>
      <c r="H132" s="17">
        <v>510.34091043302396</v>
      </c>
      <c r="I132" s="29">
        <v>4.1637462605736095</v>
      </c>
      <c r="J132" s="30">
        <v>15.732281228513376</v>
      </c>
      <c r="K132" s="31">
        <v>34.738674628882208</v>
      </c>
      <c r="L132" s="31">
        <v>5.5827412264714225</v>
      </c>
      <c r="M132" s="32">
        <v>51</v>
      </c>
      <c r="N132" s="33"/>
      <c r="O132" s="34"/>
    </row>
    <row r="133" spans="2:15">
      <c r="B133" s="25">
        <v>42615</v>
      </c>
      <c r="C133" s="26" t="s">
        <v>767</v>
      </c>
      <c r="D133" s="35">
        <v>1794.5135480832628</v>
      </c>
      <c r="E133" s="36">
        <v>55.866298954506917</v>
      </c>
      <c r="F133" s="5">
        <v>37.278955354619953</v>
      </c>
      <c r="G133" s="156">
        <v>337.4931656541396</v>
      </c>
      <c r="H133" s="5">
        <v>318.86363379485732</v>
      </c>
      <c r="I133" s="37">
        <v>3.2088595648488276</v>
      </c>
      <c r="J133" s="38">
        <v>11.143298106809832</v>
      </c>
      <c r="K133" s="39">
        <v>39.450733257982478</v>
      </c>
      <c r="L133" s="39">
        <v>3.6646355656420839</v>
      </c>
      <c r="M133" s="40">
        <v>50.8</v>
      </c>
      <c r="N133" s="41"/>
      <c r="O133" s="42"/>
    </row>
    <row r="134" spans="2:15">
      <c r="B134" s="25">
        <v>42616</v>
      </c>
      <c r="C134" s="26" t="s">
        <v>768</v>
      </c>
      <c r="D134" s="35">
        <v>1791.2055253659751</v>
      </c>
      <c r="E134" s="36">
        <v>59.494292209786607</v>
      </c>
      <c r="F134" s="5">
        <v>35.168723363356676</v>
      </c>
      <c r="G134" s="156">
        <v>329.97924771534224</v>
      </c>
      <c r="H134" s="5">
        <v>162.68137707777925</v>
      </c>
      <c r="I134" s="37">
        <v>3.3520370161062445</v>
      </c>
      <c r="J134" s="38">
        <v>10.152472732410285</v>
      </c>
      <c r="K134" s="39">
        <v>31.467313769022724</v>
      </c>
      <c r="L134" s="39">
        <v>4.1269609553122786</v>
      </c>
      <c r="M134" s="40">
        <v>51.4</v>
      </c>
      <c r="N134" s="41">
        <v>88</v>
      </c>
      <c r="O134" s="42"/>
    </row>
    <row r="135" spans="2:15">
      <c r="B135" s="25">
        <v>42617</v>
      </c>
      <c r="C135" s="45" t="s">
        <v>770</v>
      </c>
      <c r="D135" s="35">
        <v>2182.4710464922282</v>
      </c>
      <c r="E135" s="36">
        <v>67.424173370654643</v>
      </c>
      <c r="F135" s="5">
        <v>38.720078617554968</v>
      </c>
      <c r="G135" s="156">
        <v>420.00342872591233</v>
      </c>
      <c r="H135" s="5">
        <v>337.80243006499012</v>
      </c>
      <c r="I135" s="37">
        <v>4.8668516530093253</v>
      </c>
      <c r="J135" s="38">
        <v>12.958990957897711</v>
      </c>
      <c r="K135" s="39">
        <v>47.866879164537238</v>
      </c>
      <c r="L135" s="39">
        <v>6.1330063318853378</v>
      </c>
      <c r="M135" s="40">
        <v>51.6</v>
      </c>
      <c r="N135" s="41"/>
      <c r="O135" s="42"/>
    </row>
    <row r="136" spans="2:15">
      <c r="B136" s="25">
        <v>42618</v>
      </c>
      <c r="C136" s="26" t="s">
        <v>772</v>
      </c>
      <c r="D136" s="46">
        <v>1845.599996851593</v>
      </c>
      <c r="E136" s="47">
        <v>71.613221739050744</v>
      </c>
      <c r="F136" s="47">
        <v>45.619858599882576</v>
      </c>
      <c r="G136" s="132">
        <v>307.40006346749402</v>
      </c>
      <c r="H136" s="157">
        <v>535.9502920701791</v>
      </c>
      <c r="I136" s="48">
        <v>3.8667450106486223</v>
      </c>
      <c r="J136" s="49">
        <v>11.892854158543273</v>
      </c>
      <c r="K136" s="50">
        <v>37.116274914397451</v>
      </c>
      <c r="L136" s="50">
        <v>4.8892849545153041</v>
      </c>
      <c r="M136" s="40">
        <v>52.4</v>
      </c>
      <c r="N136" s="41"/>
      <c r="O136" s="42"/>
    </row>
    <row r="137" spans="2:15">
      <c r="B137" s="25">
        <v>42619</v>
      </c>
      <c r="C137" s="26" t="s">
        <v>774</v>
      </c>
      <c r="D137" s="46">
        <v>1673.7567696949843</v>
      </c>
      <c r="E137" s="47">
        <v>54.438275877583848</v>
      </c>
      <c r="F137" s="47">
        <v>45.022167442532037</v>
      </c>
      <c r="G137" s="132">
        <v>281.06023763216155</v>
      </c>
      <c r="H137" s="157">
        <v>316.06363379485731</v>
      </c>
      <c r="I137" s="48">
        <v>3.8545057186949814</v>
      </c>
      <c r="J137" s="49">
        <v>11.179067337579063</v>
      </c>
      <c r="K137" s="50">
        <v>35.562691499740723</v>
      </c>
      <c r="L137" s="50">
        <v>3.8986970437237685</v>
      </c>
      <c r="M137" s="40">
        <v>51.8</v>
      </c>
      <c r="N137" s="41"/>
      <c r="O137" s="42"/>
    </row>
    <row r="138" spans="2:15">
      <c r="B138" s="25">
        <v>42620</v>
      </c>
      <c r="C138" s="26" t="s">
        <v>775</v>
      </c>
      <c r="D138" s="46">
        <v>1560.2039704960705</v>
      </c>
      <c r="E138" s="47">
        <v>56.991982217425118</v>
      </c>
      <c r="F138" s="47">
        <v>32.684215604222445</v>
      </c>
      <c r="G138" s="132">
        <v>275.14795078558217</v>
      </c>
      <c r="H138" s="157">
        <v>94.00717904907944</v>
      </c>
      <c r="I138" s="48">
        <v>3.272866990307767</v>
      </c>
      <c r="J138" s="49">
        <v>10.496789416977052</v>
      </c>
      <c r="K138" s="50">
        <v>31.293151675992981</v>
      </c>
      <c r="L138" s="50">
        <v>4.4080199286021893</v>
      </c>
      <c r="M138" s="40">
        <v>51.8</v>
      </c>
      <c r="N138" s="41"/>
      <c r="O138" s="42"/>
    </row>
    <row r="139" spans="2:15">
      <c r="B139" s="25">
        <v>42621</v>
      </c>
      <c r="C139" s="26" t="s">
        <v>776</v>
      </c>
      <c r="D139" s="46">
        <v>1801.3453379183297</v>
      </c>
      <c r="E139" s="47">
        <v>67.174560348355129</v>
      </c>
      <c r="F139" s="47">
        <v>40.571397866718975</v>
      </c>
      <c r="G139" s="132">
        <v>303.16820166601286</v>
      </c>
      <c r="H139" s="157">
        <v>87.658959295751899</v>
      </c>
      <c r="I139" s="48">
        <v>3.2978548699725407</v>
      </c>
      <c r="J139" s="49">
        <v>10.555765587142625</v>
      </c>
      <c r="K139" s="50">
        <v>32.523720108683108</v>
      </c>
      <c r="L139" s="50">
        <v>8.0143449819660653</v>
      </c>
      <c r="M139" s="40">
        <v>51.7</v>
      </c>
      <c r="N139" s="41"/>
      <c r="O139" s="42"/>
    </row>
    <row r="140" spans="2:15">
      <c r="B140" s="25">
        <v>42622</v>
      </c>
      <c r="C140" s="26" t="s">
        <v>767</v>
      </c>
      <c r="D140" s="46">
        <v>1909.3195783979895</v>
      </c>
      <c r="E140" s="47">
        <v>75.640922565689749</v>
      </c>
      <c r="F140" s="47">
        <v>29.550867056671237</v>
      </c>
      <c r="G140" s="132">
        <v>354.12692268590035</v>
      </c>
      <c r="H140" s="157">
        <v>234.03268292682927</v>
      </c>
      <c r="I140" s="48">
        <v>4.6147182926829267</v>
      </c>
      <c r="J140" s="49">
        <v>12.417407926829267</v>
      </c>
      <c r="K140" s="50">
        <v>39.630139158018032</v>
      </c>
      <c r="L140" s="50">
        <v>3.2858882915828205</v>
      </c>
      <c r="M140" s="40">
        <v>51.8</v>
      </c>
      <c r="N140" s="41"/>
      <c r="O140" s="42"/>
    </row>
    <row r="141" spans="2:15">
      <c r="B141" s="25">
        <v>42623</v>
      </c>
      <c r="C141" s="26" t="s">
        <v>768</v>
      </c>
      <c r="D141" s="51">
        <v>1728.1226186311537</v>
      </c>
      <c r="E141" s="36">
        <v>70.293465079965586</v>
      </c>
      <c r="F141" s="5">
        <v>36.099626247806405</v>
      </c>
      <c r="G141" s="156">
        <v>299.24604427164138</v>
      </c>
      <c r="H141" s="5">
        <v>409.82707317073175</v>
      </c>
      <c r="I141" s="37">
        <v>3.3454578645184263</v>
      </c>
      <c r="J141" s="38">
        <v>10.622676546644115</v>
      </c>
      <c r="K141" s="39">
        <v>34.773011760535617</v>
      </c>
      <c r="L141" s="39">
        <v>5.4090256458655777</v>
      </c>
      <c r="M141" s="40">
        <v>51.4</v>
      </c>
      <c r="N141" s="52"/>
      <c r="O141" s="53"/>
    </row>
    <row r="142" spans="2:15">
      <c r="B142" s="25">
        <v>42624</v>
      </c>
      <c r="C142" s="45" t="s">
        <v>770</v>
      </c>
      <c r="D142" s="46">
        <v>1855.9141805844445</v>
      </c>
      <c r="E142" s="47">
        <v>53.970293510783975</v>
      </c>
      <c r="F142" s="47">
        <v>44.485305649914466</v>
      </c>
      <c r="G142" s="132">
        <v>335.81825395575254</v>
      </c>
      <c r="H142" s="157">
        <v>245.49845597449098</v>
      </c>
      <c r="I142" s="48">
        <v>3.4304836341463414</v>
      </c>
      <c r="J142" s="49">
        <v>10.595678841463414</v>
      </c>
      <c r="K142" s="50">
        <v>37.148178425255708</v>
      </c>
      <c r="L142" s="50">
        <v>5.3097140422050932</v>
      </c>
      <c r="M142" s="40">
        <v>51.4</v>
      </c>
      <c r="N142" s="41"/>
      <c r="O142" s="42"/>
    </row>
    <row r="143" spans="2:15">
      <c r="B143" s="25">
        <v>42625</v>
      </c>
      <c r="C143" s="26" t="s">
        <v>772</v>
      </c>
      <c r="D143" s="35">
        <v>1698.4839159940479</v>
      </c>
      <c r="E143" s="36">
        <v>61.821295879892759</v>
      </c>
      <c r="F143" s="5">
        <v>44.520426705320219</v>
      </c>
      <c r="G143" s="156">
        <v>280.96171819198855</v>
      </c>
      <c r="H143" s="5">
        <v>172.79251597391564</v>
      </c>
      <c r="I143" s="37">
        <v>2.9314207244825621</v>
      </c>
      <c r="J143" s="38">
        <v>11.258797620715427</v>
      </c>
      <c r="K143" s="39">
        <v>34.860397312747423</v>
      </c>
      <c r="L143" s="39">
        <v>3.5811077593019296</v>
      </c>
      <c r="M143" s="40">
        <v>51.4</v>
      </c>
      <c r="N143" s="41"/>
      <c r="O143" s="42"/>
    </row>
    <row r="144" spans="2:15">
      <c r="B144" s="25">
        <v>42626</v>
      </c>
      <c r="C144" s="26" t="s">
        <v>774</v>
      </c>
      <c r="D144" s="46">
        <v>1925.4663882276961</v>
      </c>
      <c r="E144" s="47">
        <v>64.440043952394134</v>
      </c>
      <c r="F144" s="47">
        <v>36.012705175754228</v>
      </c>
      <c r="G144" s="132">
        <v>356.53718283974541</v>
      </c>
      <c r="H144" s="157">
        <v>117.46647938001662</v>
      </c>
      <c r="I144" s="48">
        <v>4.232412399667866</v>
      </c>
      <c r="J144" s="49">
        <v>17.347288126210906</v>
      </c>
      <c r="K144" s="50">
        <v>39.158965817879874</v>
      </c>
      <c r="L144" s="50">
        <v>4.29945911031629</v>
      </c>
      <c r="M144" s="40">
        <v>51.7</v>
      </c>
      <c r="N144" s="41"/>
      <c r="O144" s="42"/>
    </row>
    <row r="145" spans="2:15">
      <c r="B145" s="25">
        <v>42627</v>
      </c>
      <c r="C145" s="26" t="s">
        <v>775</v>
      </c>
      <c r="D145" s="46">
        <v>1978.6526840729239</v>
      </c>
      <c r="E145" s="47">
        <v>69.735701363023907</v>
      </c>
      <c r="F145" s="47">
        <v>35.364237681368692</v>
      </c>
      <c r="G145" s="132">
        <v>369.93217323101271</v>
      </c>
      <c r="H145" s="157">
        <v>421.2819352533225</v>
      </c>
      <c r="I145" s="48">
        <v>4.5726204852958148</v>
      </c>
      <c r="J145" s="49">
        <v>14.168191319587091</v>
      </c>
      <c r="K145" s="50">
        <v>40.898413899770894</v>
      </c>
      <c r="L145" s="50">
        <v>6.4858909428040512</v>
      </c>
      <c r="M145" s="40">
        <v>51.5</v>
      </c>
      <c r="N145" s="41"/>
      <c r="O145" s="42"/>
    </row>
    <row r="146" spans="2:15">
      <c r="B146" s="25">
        <v>42628</v>
      </c>
      <c r="C146" s="26" t="s">
        <v>776</v>
      </c>
      <c r="D146" s="35">
        <v>1813.3753554208436</v>
      </c>
      <c r="E146" s="36">
        <v>57.841335274134138</v>
      </c>
      <c r="F146" s="5">
        <v>37.195408963132174</v>
      </c>
      <c r="G146" s="156">
        <v>335.56360493253698</v>
      </c>
      <c r="H146" s="5">
        <v>435.21336405153107</v>
      </c>
      <c r="I146" s="37">
        <v>5.4273499854210367</v>
      </c>
      <c r="J146" s="38">
        <v>14.653882545353898</v>
      </c>
      <c r="K146" s="39">
        <v>43.28460788576237</v>
      </c>
      <c r="L146" s="39">
        <v>5.2404403841082816</v>
      </c>
      <c r="M146" s="40">
        <v>52.1</v>
      </c>
      <c r="N146" s="41"/>
      <c r="O146" s="42"/>
    </row>
    <row r="147" spans="2:15">
      <c r="B147" s="25">
        <v>42629</v>
      </c>
      <c r="C147" s="26" t="s">
        <v>767</v>
      </c>
      <c r="D147" s="46">
        <v>1795.6350191421652</v>
      </c>
      <c r="E147" s="47">
        <v>64.9491944545411</v>
      </c>
      <c r="F147" s="47">
        <v>36.143258133002526</v>
      </c>
      <c r="G147" s="132">
        <v>328.15972362019352</v>
      </c>
      <c r="H147" s="157">
        <v>352.68689854685834</v>
      </c>
      <c r="I147" s="48">
        <v>3.2806274564074176</v>
      </c>
      <c r="J147" s="49">
        <v>10.241566565181291</v>
      </c>
      <c r="K147" s="50">
        <v>37.098388596734011</v>
      </c>
      <c r="L147" s="50">
        <v>5.5860195145770586</v>
      </c>
      <c r="M147" s="40">
        <v>51.6</v>
      </c>
      <c r="N147" s="41"/>
      <c r="O147" s="42"/>
    </row>
    <row r="148" spans="2:15">
      <c r="B148" s="25">
        <v>42630</v>
      </c>
      <c r="C148" s="26" t="s">
        <v>768</v>
      </c>
      <c r="D148" s="46">
        <v>1685.9835049358796</v>
      </c>
      <c r="E148" s="47">
        <v>77.433621244272231</v>
      </c>
      <c r="F148" s="47">
        <v>28.966625703478179</v>
      </c>
      <c r="G148" s="132">
        <v>298.26529089399389</v>
      </c>
      <c r="H148" s="157">
        <v>348.35000276778305</v>
      </c>
      <c r="I148" s="48">
        <v>4.4639446443398834</v>
      </c>
      <c r="J148" s="49">
        <v>11.449035150844175</v>
      </c>
      <c r="K148" s="50">
        <v>34.572313313036261</v>
      </c>
      <c r="L148" s="50">
        <v>3.742141937506005</v>
      </c>
      <c r="M148" s="40">
        <v>51.7</v>
      </c>
      <c r="N148" s="41"/>
      <c r="O148" s="42"/>
    </row>
    <row r="149" spans="2:15">
      <c r="B149" s="25">
        <v>42631</v>
      </c>
      <c r="C149" s="45" t="s">
        <v>770</v>
      </c>
      <c r="D149" s="46">
        <v>1748.2335295951639</v>
      </c>
      <c r="E149" s="47">
        <v>56.981248998927995</v>
      </c>
      <c r="F149" s="47">
        <v>41.262144951998664</v>
      </c>
      <c r="G149" s="132">
        <v>307.91040792645521</v>
      </c>
      <c r="H149" s="157">
        <v>112.27316518838401</v>
      </c>
      <c r="I149" s="48">
        <v>5.2690474551684678</v>
      </c>
      <c r="J149" s="49">
        <v>16.381052985733795</v>
      </c>
      <c r="K149" s="50">
        <v>40.337439977701294</v>
      </c>
      <c r="L149" s="50">
        <v>5.5773894990399127</v>
      </c>
      <c r="M149" s="40">
        <v>51.2</v>
      </c>
      <c r="N149" s="41"/>
      <c r="O149" s="42"/>
    </row>
    <row r="150" spans="2:15">
      <c r="B150" s="25">
        <v>42632</v>
      </c>
      <c r="C150" s="44" t="s">
        <v>772</v>
      </c>
      <c r="D150" s="35">
        <v>2061.2939394226792</v>
      </c>
      <c r="E150" s="36">
        <v>63.250828239948191</v>
      </c>
      <c r="F150" s="5">
        <v>44.93340607674925</v>
      </c>
      <c r="G150" s="156">
        <v>371.72269418696112</v>
      </c>
      <c r="H150" s="5">
        <v>140.27875112608854</v>
      </c>
      <c r="I150" s="37">
        <v>4.5784992826398856</v>
      </c>
      <c r="J150" s="38">
        <v>18.890807880951588</v>
      </c>
      <c r="K150" s="39">
        <v>41.746827929269358</v>
      </c>
      <c r="L150" s="39">
        <v>8.5354970576956539</v>
      </c>
      <c r="M150" s="40">
        <v>51.2</v>
      </c>
      <c r="N150" s="52"/>
      <c r="O150" s="53"/>
    </row>
    <row r="151" spans="2:15">
      <c r="B151" s="25">
        <v>42633</v>
      </c>
      <c r="C151" s="26" t="s">
        <v>774</v>
      </c>
      <c r="D151" s="35">
        <v>1836.0381273912669</v>
      </c>
      <c r="E151" s="36">
        <v>77.615293693360826</v>
      </c>
      <c r="F151" s="5">
        <v>25.959435601685207</v>
      </c>
      <c r="G151" s="156">
        <v>339.13292120863417</v>
      </c>
      <c r="H151" s="5">
        <v>61.30361384107384</v>
      </c>
      <c r="I151" s="37">
        <v>4.5917241127260677</v>
      </c>
      <c r="J151" s="38">
        <v>17.577932322279111</v>
      </c>
      <c r="K151" s="39">
        <v>38.206020995139575</v>
      </c>
      <c r="L151" s="39">
        <v>7.807142526830301</v>
      </c>
      <c r="M151" s="55">
        <v>50.6</v>
      </c>
      <c r="N151" s="41"/>
      <c r="O151" s="42"/>
    </row>
    <row r="152" spans="2:15">
      <c r="B152" s="25">
        <v>42634</v>
      </c>
      <c r="C152" s="26" t="s">
        <v>775</v>
      </c>
      <c r="D152" s="46">
        <v>1772.0079177518169</v>
      </c>
      <c r="E152" s="47">
        <v>75.312749274499595</v>
      </c>
      <c r="F152" s="47">
        <v>43.699891770221001</v>
      </c>
      <c r="G152" s="132">
        <v>276.74221629833573</v>
      </c>
      <c r="H152" s="157">
        <v>511.93164756802344</v>
      </c>
      <c r="I152" s="48">
        <v>1.4980593794181114</v>
      </c>
      <c r="J152" s="49">
        <v>9.7433719026713277</v>
      </c>
      <c r="K152" s="50">
        <v>33.26957734950517</v>
      </c>
      <c r="L152" s="50">
        <v>6.0906320967986698</v>
      </c>
      <c r="M152" s="40">
        <v>50.8</v>
      </c>
      <c r="N152" s="33"/>
      <c r="O152" s="34"/>
    </row>
    <row r="153" spans="2:15">
      <c r="B153" s="25">
        <v>42635</v>
      </c>
      <c r="C153" s="44" t="s">
        <v>776</v>
      </c>
      <c r="D153" s="46"/>
      <c r="E153" s="47"/>
      <c r="F153" s="47"/>
      <c r="G153" s="132"/>
      <c r="H153" s="157"/>
      <c r="I153" s="48"/>
      <c r="J153" s="49"/>
      <c r="K153" s="50"/>
      <c r="L153" s="50"/>
      <c r="M153" s="40"/>
      <c r="N153" s="41"/>
      <c r="O153" s="42"/>
    </row>
    <row r="154" spans="2:15">
      <c r="B154" s="25">
        <v>42636</v>
      </c>
      <c r="C154" s="26" t="s">
        <v>767</v>
      </c>
      <c r="D154" s="46"/>
      <c r="E154" s="47"/>
      <c r="F154" s="47"/>
      <c r="G154" s="132"/>
      <c r="H154" s="157"/>
      <c r="I154" s="48"/>
      <c r="J154" s="49"/>
      <c r="K154" s="50"/>
      <c r="L154" s="50"/>
      <c r="M154" s="40"/>
      <c r="N154" s="41"/>
      <c r="O154" s="42"/>
    </row>
    <row r="155" spans="2:15">
      <c r="B155" s="25">
        <v>42637</v>
      </c>
      <c r="C155" s="26" t="s">
        <v>768</v>
      </c>
      <c r="D155" s="46"/>
      <c r="E155" s="47"/>
      <c r="F155" s="47"/>
      <c r="G155" s="132"/>
      <c r="H155" s="157"/>
      <c r="I155" s="48"/>
      <c r="J155" s="49"/>
      <c r="K155" s="50"/>
      <c r="L155" s="50"/>
      <c r="M155" s="40"/>
      <c r="N155" s="41"/>
      <c r="O155" s="42"/>
    </row>
    <row r="156" spans="2:15">
      <c r="B156" s="25">
        <v>42638</v>
      </c>
      <c r="C156" s="45" t="s">
        <v>770</v>
      </c>
      <c r="D156" s="46"/>
      <c r="E156" s="47"/>
      <c r="F156" s="47"/>
      <c r="G156" s="132"/>
      <c r="H156" s="157"/>
      <c r="I156" s="48"/>
      <c r="J156" s="49"/>
      <c r="K156" s="50"/>
      <c r="L156" s="50"/>
      <c r="M156" s="40"/>
      <c r="N156" s="41"/>
      <c r="O156" s="42"/>
    </row>
    <row r="157" spans="2:15">
      <c r="B157" s="25">
        <v>42639</v>
      </c>
      <c r="C157" s="26" t="s">
        <v>772</v>
      </c>
      <c r="D157" s="46"/>
      <c r="E157" s="47"/>
      <c r="F157" s="47"/>
      <c r="G157" s="132"/>
      <c r="H157" s="157"/>
      <c r="I157" s="48"/>
      <c r="J157" s="49"/>
      <c r="K157" s="50"/>
      <c r="L157" s="50"/>
      <c r="M157" s="40"/>
      <c r="N157" s="41"/>
      <c r="O157" s="42"/>
    </row>
    <row r="158" spans="2:15">
      <c r="B158" s="25">
        <v>42640</v>
      </c>
      <c r="C158" s="26" t="s">
        <v>774</v>
      </c>
      <c r="D158" s="46"/>
      <c r="E158" s="47"/>
      <c r="F158" s="47"/>
      <c r="G158" s="132"/>
      <c r="H158" s="157"/>
      <c r="I158" s="48"/>
      <c r="J158" s="49"/>
      <c r="K158" s="50"/>
      <c r="L158" s="50"/>
      <c r="M158" s="40"/>
      <c r="N158" s="41"/>
      <c r="O158" s="42"/>
    </row>
    <row r="159" spans="2:15">
      <c r="B159" s="25">
        <v>42641</v>
      </c>
      <c r="C159" s="26" t="s">
        <v>775</v>
      </c>
      <c r="D159" s="46"/>
      <c r="E159" s="47"/>
      <c r="F159" s="47"/>
      <c r="G159" s="132"/>
      <c r="H159" s="157"/>
      <c r="I159" s="48"/>
      <c r="J159" s="49"/>
      <c r="K159" s="50"/>
      <c r="L159" s="50"/>
      <c r="M159" s="40"/>
      <c r="N159" s="41"/>
      <c r="O159" s="42"/>
    </row>
    <row r="160" spans="2:15">
      <c r="B160" s="25">
        <v>42642</v>
      </c>
      <c r="C160" s="26" t="s">
        <v>776</v>
      </c>
      <c r="D160" s="46"/>
      <c r="E160" s="47"/>
      <c r="F160" s="47"/>
      <c r="G160" s="132"/>
      <c r="H160" s="157"/>
      <c r="I160" s="48"/>
      <c r="J160" s="49"/>
      <c r="K160" s="50"/>
      <c r="L160" s="50"/>
      <c r="M160" s="40"/>
      <c r="N160" s="41"/>
      <c r="O160" s="42"/>
    </row>
    <row r="161" spans="2:15">
      <c r="B161" s="25">
        <v>42643</v>
      </c>
      <c r="C161" s="26" t="s">
        <v>767</v>
      </c>
      <c r="D161" s="46"/>
      <c r="E161" s="47"/>
      <c r="F161" s="47"/>
      <c r="G161" s="132"/>
      <c r="H161" s="157"/>
      <c r="I161" s="48"/>
      <c r="J161" s="49"/>
      <c r="K161" s="50"/>
      <c r="L161" s="50"/>
      <c r="M161" s="40"/>
      <c r="N161" s="41"/>
      <c r="O161" s="42"/>
    </row>
    <row r="162" spans="2:15" ht="14.25" thickBot="1">
      <c r="B162" s="25"/>
      <c r="C162" s="26"/>
      <c r="D162" s="56"/>
      <c r="E162" s="57"/>
      <c r="F162" s="58"/>
      <c r="G162" s="133"/>
      <c r="H162" s="157"/>
      <c r="I162" s="59"/>
      <c r="J162" s="60"/>
      <c r="K162" s="61"/>
      <c r="L162" s="61"/>
      <c r="M162" s="62"/>
      <c r="N162" s="63"/>
      <c r="O162" s="64"/>
    </row>
    <row r="163" spans="2:15">
      <c r="B163" s="23" t="s">
        <v>778</v>
      </c>
      <c r="D163" s="65">
        <f>SUM(D132:D162)/COUNT(D132:D162)</f>
        <v>1824.353623662515</v>
      </c>
      <c r="E163" s="7">
        <f t="shared" ref="E163:N163" si="3">SUM(E132:E162)/COUNT(E132:E162)</f>
        <v>65.40432940621686</v>
      </c>
      <c r="F163" s="7">
        <f t="shared" si="3"/>
        <v>37.835753837202979</v>
      </c>
      <c r="G163" s="7">
        <f t="shared" si="3"/>
        <v>325.52214036300199</v>
      </c>
      <c r="H163" s="7">
        <f t="shared" si="3"/>
        <v>282.20500006426511</v>
      </c>
      <c r="I163" s="66">
        <f t="shared" si="3"/>
        <v>3.9104682286227006</v>
      </c>
      <c r="J163" s="66">
        <f t="shared" si="3"/>
        <v>12.831390917158982</v>
      </c>
      <c r="K163" s="6">
        <f t="shared" si="3"/>
        <v>37.381129592409266</v>
      </c>
      <c r="L163" s="6">
        <f t="shared" si="3"/>
        <v>5.3175257046071476</v>
      </c>
      <c r="M163" s="67">
        <f t="shared" si="3"/>
        <v>51.471428571428575</v>
      </c>
      <c r="N163" s="68">
        <f t="shared" si="3"/>
        <v>88</v>
      </c>
      <c r="O163" s="69"/>
    </row>
    <row r="164" spans="2:15">
      <c r="G164" s="153" t="s">
        <v>1242</v>
      </c>
      <c r="H164" s="153"/>
      <c r="I164" s="71" t="s">
        <v>1243</v>
      </c>
    </row>
  </sheetData>
  <phoneticPr fontId="1"/>
  <conditionalFormatting sqref="D30:D61 D64:D95 D98:D129">
    <cfRule type="cellIs" dxfId="41" priority="40" operator="between">
      <formula>($D$6+$D$5)/2</formula>
      <formula>($D$5+$D$4)/2</formula>
    </cfRule>
    <cfRule type="cellIs" dxfId="40" priority="41" operator="lessThan">
      <formula>$D$6</formula>
    </cfRule>
    <cfRule type="cellIs" dxfId="39" priority="42" operator="greaterThan">
      <formula>$D$4</formula>
    </cfRule>
  </conditionalFormatting>
  <conditionalFormatting sqref="E30:E61 E64:E95 E98:E129">
    <cfRule type="cellIs" dxfId="38" priority="38" operator="lessThan">
      <formula>$E$6</formula>
    </cfRule>
    <cfRule type="cellIs" dxfId="37" priority="39" operator="greaterThan">
      <formula>$E$3</formula>
    </cfRule>
  </conditionalFormatting>
  <conditionalFormatting sqref="F30:F61 F64:F95 AB103 F98:F129">
    <cfRule type="cellIs" dxfId="36" priority="37" operator="greaterThan">
      <formula>$F$4</formula>
    </cfRule>
  </conditionalFormatting>
  <conditionalFormatting sqref="F30:F61 F64:F95 AB103 F98:F129">
    <cfRule type="cellIs" dxfId="35" priority="36" operator="lessThan">
      <formula>$F$6</formula>
    </cfRule>
  </conditionalFormatting>
  <conditionalFormatting sqref="F30:F61 F64:F95 AB103 F98:F129">
    <cfRule type="cellIs" dxfId="34" priority="35" operator="between">
      <formula>($F$6+$F$5)/2</formula>
      <formula>($F$5+$F$4)/2</formula>
    </cfRule>
  </conditionalFormatting>
  <conditionalFormatting sqref="G30:G61 G64:G95 R101 G98:G129">
    <cfRule type="cellIs" dxfId="33" priority="34" operator="greaterThan">
      <formula>$G$4</formula>
    </cfRule>
  </conditionalFormatting>
  <conditionalFormatting sqref="G30:G61 G64:G95 R101 G98:G129">
    <cfRule type="cellIs" dxfId="32" priority="33" operator="lessThan">
      <formula>$G$6</formula>
    </cfRule>
  </conditionalFormatting>
  <conditionalFormatting sqref="G30:G61 G64:G95 R101 G98:G129">
    <cfRule type="cellIs" dxfId="31" priority="32" operator="between">
      <formula>($G$6+$G$5)/2</formula>
      <formula>($G$5+$G$4)/2</formula>
    </cfRule>
  </conditionalFormatting>
  <conditionalFormatting sqref="H30:H61 H64:H95 H98:H129">
    <cfRule type="cellIs" dxfId="30" priority="30" operator="lessThan">
      <formula>($H$5+$H$4)/2</formula>
    </cfRule>
    <cfRule type="cellIs" dxfId="29" priority="31" operator="greaterThan">
      <formula>$H$4</formula>
    </cfRule>
  </conditionalFormatting>
  <conditionalFormatting sqref="K30:K61 K64:K95 K98:K129">
    <cfRule type="cellIs" dxfId="28" priority="28" operator="lessThan">
      <formula>$K$6</formula>
    </cfRule>
    <cfRule type="cellIs" dxfId="27" priority="29" operator="greaterThan">
      <formula>$K$3</formula>
    </cfRule>
  </conditionalFormatting>
  <conditionalFormatting sqref="L30:L61 L64:L95 L98:L129">
    <cfRule type="cellIs" dxfId="26" priority="25" operator="between">
      <formula>($L$6+$L$5)/2</formula>
      <formula>($L$5+$L$4)/2</formula>
    </cfRule>
    <cfRule type="cellIs" dxfId="25" priority="26" operator="lessThan">
      <formula>$L$6</formula>
    </cfRule>
    <cfRule type="cellIs" dxfId="24" priority="27" operator="greaterThan">
      <formula>$L$4</formula>
    </cfRule>
  </conditionalFormatting>
  <conditionalFormatting sqref="M30:M61 M64:M95 M98:M129">
    <cfRule type="cellIs" dxfId="23" priority="22" operator="between">
      <formula>($O$5+$O$4)/2</formula>
      <formula>($O$4+$O$3)/2</formula>
    </cfRule>
    <cfRule type="cellIs" dxfId="22" priority="23" operator="lessThan">
      <formula>$O$5</formula>
    </cfRule>
    <cfRule type="cellIs" dxfId="21" priority="24" operator="greaterThan">
      <formula>$O$3</formula>
    </cfRule>
  </conditionalFormatting>
  <conditionalFormatting sqref="D132:D163">
    <cfRule type="cellIs" dxfId="20" priority="19" operator="between">
      <formula>($D$6+$D$5)/2</formula>
      <formula>($D$5+$D$4)/2</formula>
    </cfRule>
    <cfRule type="cellIs" dxfId="19" priority="20" operator="lessThan">
      <formula>$D$6</formula>
    </cfRule>
    <cfRule type="cellIs" dxfId="18" priority="21" operator="greaterThan">
      <formula>$D$4</formula>
    </cfRule>
  </conditionalFormatting>
  <conditionalFormatting sqref="E132:E163">
    <cfRule type="cellIs" dxfId="17" priority="17" operator="lessThan">
      <formula>$E$6</formula>
    </cfRule>
    <cfRule type="cellIs" dxfId="16" priority="18" operator="greaterThan">
      <formula>$E$3</formula>
    </cfRule>
  </conditionalFormatting>
  <conditionalFormatting sqref="F132:F163">
    <cfRule type="cellIs" dxfId="15" priority="16" operator="greaterThan">
      <formula>$F$4</formula>
    </cfRule>
  </conditionalFormatting>
  <conditionalFormatting sqref="F132:F163">
    <cfRule type="cellIs" dxfId="14" priority="15" operator="lessThan">
      <formula>$F$6</formula>
    </cfRule>
  </conditionalFormatting>
  <conditionalFormatting sqref="F132:F163">
    <cfRule type="cellIs" dxfId="13" priority="14" operator="between">
      <formula>($F$6+$F$5)/2</formula>
      <formula>($F$5+$F$4)/2</formula>
    </cfRule>
  </conditionalFormatting>
  <conditionalFormatting sqref="G132:G163">
    <cfRule type="cellIs" dxfId="12" priority="13" operator="greaterThan">
      <formula>$G$4</formula>
    </cfRule>
  </conditionalFormatting>
  <conditionalFormatting sqref="G132:G163">
    <cfRule type="cellIs" dxfId="11" priority="12" operator="lessThan">
      <formula>$G$6</formula>
    </cfRule>
  </conditionalFormatting>
  <conditionalFormatting sqref="G132:G163">
    <cfRule type="cellIs" dxfId="10" priority="11" operator="between">
      <formula>($G$6+$G$5)/2</formula>
      <formula>($G$5+$G$4)/2</formula>
    </cfRule>
  </conditionalFormatting>
  <conditionalFormatting sqref="H132:H163">
    <cfRule type="cellIs" dxfId="9" priority="9" operator="lessThan">
      <formula>($H$5+$H$4)/2</formula>
    </cfRule>
    <cfRule type="cellIs" dxfId="8" priority="10" operator="greaterThan">
      <formula>$H$4</formula>
    </cfRule>
  </conditionalFormatting>
  <conditionalFormatting sqref="K132:K163">
    <cfRule type="cellIs" dxfId="7" priority="7" operator="lessThan">
      <formula>$K$6</formula>
    </cfRule>
    <cfRule type="cellIs" dxfId="6" priority="8" operator="greaterThan">
      <formula>$K$3</formula>
    </cfRule>
  </conditionalFormatting>
  <conditionalFormatting sqref="L132:L163">
    <cfRule type="cellIs" dxfId="5" priority="4" operator="between">
      <formula>($L$6+$L$5)/2</formula>
      <formula>($L$5+$L$4)/2</formula>
    </cfRule>
    <cfRule type="cellIs" dxfId="4" priority="5" operator="lessThan">
      <formula>$L$6</formula>
    </cfRule>
    <cfRule type="cellIs" dxfId="3" priority="6" operator="greaterThan">
      <formula>$L$4</formula>
    </cfRule>
  </conditionalFormatting>
  <conditionalFormatting sqref="M132:M163">
    <cfRule type="cellIs" dxfId="2" priority="1" operator="between">
      <formula>($O$5+$O$4)/2</formula>
      <formula>($O$4+$O$3)/2</formula>
    </cfRule>
    <cfRule type="cellIs" dxfId="1" priority="2" operator="lessThan">
      <formula>$O$5</formula>
    </cfRule>
    <cfRule type="cellIs" dxfId="0" priority="3" operator="greaterThan">
      <formula>$O$3</formula>
    </cfRule>
  </conditionalFormatting>
  <pageMargins left="0.59055118110236227" right="0.59055118110236227" top="0.59055118110236227" bottom="0.59055118110236227" header="0.31496062992125984" footer="0.31496062992125984"/>
  <pageSetup paperSize="9" scale="12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8"/>
  <sheetViews>
    <sheetView zoomScale="160" zoomScaleNormal="160" workbookViewId="0">
      <selection sqref="A1:XFD1048576"/>
    </sheetView>
  </sheetViews>
  <sheetFormatPr defaultRowHeight="13.5"/>
  <cols>
    <col min="1" max="1" width="4.875" style="172" bestFit="1" customWidth="1"/>
    <col min="2" max="2" width="29.5" bestFit="1" customWidth="1"/>
    <col min="3" max="3" width="5.75" bestFit="1" customWidth="1"/>
    <col min="4" max="4" width="8.5" bestFit="1" customWidth="1"/>
    <col min="5" max="6" width="6.5" bestFit="1" customWidth="1"/>
    <col min="7" max="7" width="7.5" bestFit="1" customWidth="1"/>
    <col min="8" max="8" width="8.375" bestFit="1" customWidth="1"/>
    <col min="9" max="10" width="5.5" bestFit="1" customWidth="1"/>
    <col min="11" max="11" width="6.5" customWidth="1"/>
    <col min="12" max="12" width="6" bestFit="1" customWidth="1"/>
    <col min="13" max="13" width="8.625" customWidth="1"/>
  </cols>
  <sheetData>
    <row r="1" spans="1:13">
      <c r="H1" s="67"/>
    </row>
    <row r="2" spans="1:13" ht="63.75" customHeight="1">
      <c r="A2" s="173"/>
      <c r="B2" s="145">
        <f>B13</f>
        <v>42662</v>
      </c>
      <c r="C2" s="2"/>
      <c r="D2" s="114" t="s">
        <v>1166</v>
      </c>
      <c r="E2" s="114" t="s">
        <v>3</v>
      </c>
      <c r="F2" s="114" t="s">
        <v>4</v>
      </c>
      <c r="G2" s="114" t="s">
        <v>5</v>
      </c>
      <c r="H2" s="146" t="s">
        <v>1167</v>
      </c>
      <c r="I2" s="83" t="s">
        <v>6</v>
      </c>
      <c r="J2" s="83" t="s">
        <v>7</v>
      </c>
      <c r="K2" s="115" t="s">
        <v>8</v>
      </c>
      <c r="L2" s="116" t="s">
        <v>9</v>
      </c>
    </row>
    <row r="3" spans="1:13" ht="13.5" customHeight="1">
      <c r="B3" s="20" t="s">
        <v>761</v>
      </c>
      <c r="C3" s="20" t="s">
        <v>758</v>
      </c>
      <c r="D3" s="5">
        <f>朝食!D3</f>
        <v>120.96</v>
      </c>
      <c r="E3" s="5">
        <f>朝食!E3</f>
        <v>1.23</v>
      </c>
      <c r="F3" s="5">
        <f>朝食!F3</f>
        <v>0.222</v>
      </c>
      <c r="G3" s="5">
        <f>朝食!G3</f>
        <v>31.382000000000001</v>
      </c>
      <c r="H3" s="5">
        <f>朝食!H3</f>
        <v>0</v>
      </c>
      <c r="I3" s="5">
        <f>朝食!I3</f>
        <v>0</v>
      </c>
      <c r="J3" s="5">
        <f>朝食!J3</f>
        <v>0</v>
      </c>
      <c r="K3" s="5">
        <f>朝食!K3</f>
        <v>2.52</v>
      </c>
      <c r="L3" s="5">
        <f>朝食!L3</f>
        <v>6.7129105999999994E-2</v>
      </c>
    </row>
    <row r="4" spans="1:13" ht="13.5" customHeight="1">
      <c r="B4" s="20" t="s">
        <v>762</v>
      </c>
      <c r="C4" s="20" t="s">
        <v>758</v>
      </c>
      <c r="D4" s="5">
        <f>SUM(D15:D78)</f>
        <v>0</v>
      </c>
      <c r="E4" s="5">
        <f t="shared" ref="E4:L4" si="0">SUM(E15:E78)</f>
        <v>0</v>
      </c>
      <c r="F4" s="5">
        <f t="shared" si="0"/>
        <v>0</v>
      </c>
      <c r="G4" s="5">
        <f t="shared" si="0"/>
        <v>0</v>
      </c>
      <c r="H4" s="5">
        <f t="shared" si="0"/>
        <v>0</v>
      </c>
      <c r="I4" s="5">
        <f t="shared" si="0"/>
        <v>0</v>
      </c>
      <c r="J4" s="5">
        <f t="shared" si="0"/>
        <v>0</v>
      </c>
      <c r="K4" s="5">
        <f t="shared" si="0"/>
        <v>0</v>
      </c>
      <c r="L4" s="5">
        <f t="shared" si="0"/>
        <v>0</v>
      </c>
    </row>
    <row r="5" spans="1:13" ht="13.5" customHeight="1">
      <c r="B5" s="20" t="s">
        <v>763</v>
      </c>
      <c r="C5" s="20" t="s">
        <v>758</v>
      </c>
      <c r="D5" s="5"/>
      <c r="E5" s="5"/>
      <c r="F5" s="5"/>
      <c r="G5" s="5"/>
      <c r="H5" s="147"/>
      <c r="I5" s="5"/>
      <c r="J5" s="5"/>
      <c r="K5" s="5"/>
      <c r="L5" s="5"/>
    </row>
    <row r="6" spans="1:13" ht="13.5" customHeight="1">
      <c r="B6" s="1"/>
      <c r="C6" s="43" t="s">
        <v>779</v>
      </c>
      <c r="D6" s="5">
        <f>SUM(D3:D5)</f>
        <v>120.96</v>
      </c>
      <c r="E6" s="5">
        <f t="shared" ref="E6:L6" si="1">SUM(E3:E5)</f>
        <v>1.23</v>
      </c>
      <c r="F6" s="5">
        <f t="shared" si="1"/>
        <v>0.222</v>
      </c>
      <c r="G6" s="5">
        <f t="shared" si="1"/>
        <v>31.382000000000001</v>
      </c>
      <c r="H6" s="5">
        <f t="shared" si="1"/>
        <v>0</v>
      </c>
      <c r="I6" s="5">
        <f t="shared" si="1"/>
        <v>0</v>
      </c>
      <c r="J6" s="5">
        <f t="shared" si="1"/>
        <v>0</v>
      </c>
      <c r="K6" s="5">
        <f t="shared" si="1"/>
        <v>2.52</v>
      </c>
      <c r="L6" s="5">
        <f t="shared" si="1"/>
        <v>6.7129105999999994E-2</v>
      </c>
    </row>
    <row r="7" spans="1:13" ht="13.5" customHeight="1">
      <c r="B7" s="153"/>
      <c r="C7" s="248"/>
      <c r="D7" s="249"/>
      <c r="E7" s="249"/>
      <c r="F7" s="249"/>
      <c r="G7" s="249"/>
      <c r="H7" s="249"/>
      <c r="I7" s="249"/>
      <c r="J7" s="249"/>
      <c r="K7" s="249"/>
      <c r="L7" s="249"/>
    </row>
    <row r="8" spans="1:13" ht="13.5" customHeight="1"/>
    <row r="9" spans="1:13">
      <c r="E9" s="228" t="s">
        <v>3</v>
      </c>
      <c r="F9" s="228" t="s">
        <v>4</v>
      </c>
      <c r="G9" s="228" t="s">
        <v>5</v>
      </c>
    </row>
    <row r="10" spans="1:13">
      <c r="B10" s="1" t="s">
        <v>1194</v>
      </c>
      <c r="C10" s="1"/>
      <c r="D10" s="222">
        <f>SUM(E10:G10)</f>
        <v>1.053290343915344</v>
      </c>
      <c r="E10" s="222">
        <f>E6*4/D6</f>
        <v>4.0674603174603176E-2</v>
      </c>
      <c r="F10" s="222">
        <f>F6*9/D6</f>
        <v>1.6517857142857143E-2</v>
      </c>
      <c r="G10" s="222">
        <f>((G6-K6)*4+K6*2)/D6</f>
        <v>0.99609788359788376</v>
      </c>
      <c r="H10" s="1"/>
      <c r="I10" s="1"/>
      <c r="J10" s="1"/>
      <c r="K10" s="1"/>
      <c r="L10" s="1"/>
    </row>
    <row r="11" spans="1:13">
      <c r="D11" s="227" t="s">
        <v>773</v>
      </c>
      <c r="E11" s="226">
        <v>0.13</v>
      </c>
      <c r="F11" s="226">
        <v>0.2</v>
      </c>
      <c r="G11" s="226">
        <v>0.5</v>
      </c>
    </row>
    <row r="12" spans="1:13">
      <c r="D12" s="227" t="s">
        <v>769</v>
      </c>
      <c r="E12" s="226">
        <v>0.2</v>
      </c>
      <c r="F12" s="226">
        <v>0.3</v>
      </c>
      <c r="G12" s="226">
        <v>0.65</v>
      </c>
    </row>
    <row r="13" spans="1:13">
      <c r="B13" s="167">
        <f>朝食!B13</f>
        <v>42662</v>
      </c>
      <c r="C13" s="118"/>
    </row>
    <row r="14" spans="1:13" ht="40.5" customHeight="1">
      <c r="B14" s="98" t="s">
        <v>0</v>
      </c>
      <c r="C14" s="82" t="s">
        <v>1</v>
      </c>
      <c r="D14" s="82" t="s">
        <v>2</v>
      </c>
      <c r="E14" s="82" t="s">
        <v>3</v>
      </c>
      <c r="F14" s="82" t="s">
        <v>4</v>
      </c>
      <c r="G14" s="114" t="s">
        <v>5</v>
      </c>
      <c r="H14" s="120" t="s">
        <v>1148</v>
      </c>
      <c r="I14" s="83" t="s">
        <v>6</v>
      </c>
      <c r="J14" s="83" t="s">
        <v>7</v>
      </c>
      <c r="K14" s="115" t="s">
        <v>8</v>
      </c>
      <c r="L14" s="116" t="s">
        <v>9</v>
      </c>
      <c r="M14" s="81" t="s">
        <v>746</v>
      </c>
    </row>
    <row r="15" spans="1:13" ht="13.5" customHeight="1">
      <c r="A15" s="174" t="s">
        <v>844</v>
      </c>
      <c r="B15" s="99" t="str">
        <f>粥A!B10</f>
        <v>粥9/17作</v>
      </c>
      <c r="C15" s="4"/>
      <c r="D15" s="5">
        <f>$C$15/100*粥A!D3</f>
        <v>0</v>
      </c>
      <c r="E15" s="5">
        <f>$C$15/100*粥A!E3</f>
        <v>0</v>
      </c>
      <c r="F15" s="5">
        <f>$C$15/100*粥A!F3</f>
        <v>0</v>
      </c>
      <c r="G15" s="5">
        <f>$C$15/100*粥A!G3</f>
        <v>0</v>
      </c>
      <c r="H15" s="5">
        <f>$C$15/100*粥A!H3</f>
        <v>0</v>
      </c>
      <c r="I15" s="5">
        <f>$C$15/100*粥A!I3</f>
        <v>0</v>
      </c>
      <c r="J15" s="5">
        <f>$C$15/100*粥A!J3</f>
        <v>0</v>
      </c>
      <c r="K15" s="5">
        <f>$C$15/100*粥A!K3</f>
        <v>0</v>
      </c>
      <c r="L15" s="5">
        <f>$C$15/100*粥A!L3</f>
        <v>0</v>
      </c>
      <c r="M15" s="5"/>
    </row>
    <row r="16" spans="1:13" ht="13.5" customHeight="1">
      <c r="A16" s="174" t="s">
        <v>845</v>
      </c>
      <c r="B16" s="99" t="str">
        <f>粥B!B3</f>
        <v>粥9/12作</v>
      </c>
      <c r="C16" s="4"/>
      <c r="D16" s="5">
        <f>$C$16/100*粥B!D3</f>
        <v>0</v>
      </c>
      <c r="E16" s="5">
        <f>$C$16/100*粥B!E3</f>
        <v>0</v>
      </c>
      <c r="F16" s="5">
        <f>$C$16/100*粥B!F3</f>
        <v>0</v>
      </c>
      <c r="G16" s="5">
        <f>$C$16/100*粥B!G3</f>
        <v>0</v>
      </c>
      <c r="H16" s="5">
        <f>$C$16/100*粥B!H3</f>
        <v>0</v>
      </c>
      <c r="I16" s="5">
        <f>$C$16/100*粥B!I3</f>
        <v>0</v>
      </c>
      <c r="J16" s="5">
        <f>$C$16/100*粥B!J3</f>
        <v>0</v>
      </c>
      <c r="K16" s="5">
        <f>$C$16/100*粥B!K3</f>
        <v>0</v>
      </c>
      <c r="L16" s="5">
        <f>$C$16/100*粥B!L3</f>
        <v>0</v>
      </c>
      <c r="M16" s="5"/>
    </row>
    <row r="17" spans="1:13" ht="13.5" customHeight="1">
      <c r="A17" s="174" t="s">
        <v>846</v>
      </c>
      <c r="B17" s="100" t="str">
        <f>味噌汁A!B3</f>
        <v>味噌汁・9/21作</v>
      </c>
      <c r="C17" s="4"/>
      <c r="D17" s="5">
        <f>$C$17/100*味噌汁A!D3</f>
        <v>0</v>
      </c>
      <c r="E17" s="5">
        <f>$C$17/100*味噌汁A!E3</f>
        <v>0</v>
      </c>
      <c r="F17" s="5">
        <f>$C$17/100*味噌汁A!F3</f>
        <v>0</v>
      </c>
      <c r="G17" s="5">
        <f>$C$17/100*味噌汁A!G3</f>
        <v>0</v>
      </c>
      <c r="H17" s="5">
        <f>$C$17/100*味噌汁A!H3</f>
        <v>0</v>
      </c>
      <c r="I17" s="5">
        <f>$C$17/100*味噌汁A!I3</f>
        <v>0</v>
      </c>
      <c r="J17" s="5">
        <f>$C$17/100*味噌汁A!J3</f>
        <v>0</v>
      </c>
      <c r="K17" s="5">
        <f>$C$17/100*味噌汁A!K3</f>
        <v>0</v>
      </c>
      <c r="L17" s="5">
        <f>$C$17/100*味噌汁A!L3</f>
        <v>0</v>
      </c>
      <c r="M17" s="5"/>
    </row>
    <row r="18" spans="1:13" ht="13.5" customHeight="1">
      <c r="A18" s="174" t="s">
        <v>843</v>
      </c>
      <c r="B18" s="100" t="str">
        <f>味噌汁B!B3</f>
        <v>味噌汁9/14作</v>
      </c>
      <c r="C18" s="4"/>
      <c r="D18" s="5">
        <f>$C$18/100*味噌汁B!D3</f>
        <v>0</v>
      </c>
      <c r="E18" s="5">
        <f>$C$18/100*味噌汁B!E3</f>
        <v>0</v>
      </c>
      <c r="F18" s="5">
        <f>$C$18/100*味噌汁B!F3</f>
        <v>0</v>
      </c>
      <c r="G18" s="5">
        <f>$C$18/100*味噌汁B!G3</f>
        <v>0</v>
      </c>
      <c r="H18" s="5">
        <f>$C$18/100*味噌汁B!H3</f>
        <v>0</v>
      </c>
      <c r="I18" s="5">
        <f>$C$18/100*味噌汁B!I3</f>
        <v>0</v>
      </c>
      <c r="J18" s="5">
        <f>$C$18/100*味噌汁B!J3</f>
        <v>0</v>
      </c>
      <c r="K18" s="5">
        <f>$C$18/100*味噌汁B!K3</f>
        <v>0</v>
      </c>
      <c r="L18" s="5">
        <f>$C$18/100*味噌汁B!L3</f>
        <v>0</v>
      </c>
      <c r="M18" s="5"/>
    </row>
    <row r="19" spans="1:13" ht="13.5" customHeight="1">
      <c r="A19" s="174" t="s">
        <v>1156</v>
      </c>
      <c r="B19" s="96" t="str">
        <f>調理1!B3</f>
        <v>味噌汁9/16の具・昼食</v>
      </c>
      <c r="C19" s="4"/>
      <c r="D19" s="5">
        <f>$C$19/100*調理1!D3</f>
        <v>0</v>
      </c>
      <c r="E19" s="5">
        <f>$C$19/100*調理1!E3</f>
        <v>0</v>
      </c>
      <c r="F19" s="5">
        <f>$C$19/100*調理1!F3</f>
        <v>0</v>
      </c>
      <c r="G19" s="5">
        <f>$C$19/100*調理1!G3</f>
        <v>0</v>
      </c>
      <c r="H19" s="5">
        <f>$C$19/100*調理1!H3</f>
        <v>0</v>
      </c>
      <c r="I19" s="5">
        <f>$C$19/100*調理1!I3</f>
        <v>0</v>
      </c>
      <c r="J19" s="5">
        <f>$C$19/100*調理1!J3</f>
        <v>0</v>
      </c>
      <c r="K19" s="5">
        <f>$C$19/100*調理1!K3</f>
        <v>0</v>
      </c>
      <c r="L19" s="5">
        <f>$C$19/100*調理1!L3</f>
        <v>0</v>
      </c>
      <c r="M19" s="5"/>
    </row>
    <row r="20" spans="1:13" ht="13.5" customHeight="1">
      <c r="A20" s="174" t="s">
        <v>1157</v>
      </c>
      <c r="B20" s="96" t="str">
        <f>調理2!B3</f>
        <v>味噌汁9/16の具・夕食</v>
      </c>
      <c r="C20" s="4"/>
      <c r="D20" s="5">
        <f>$C$20/100*調理2!D3</f>
        <v>0</v>
      </c>
      <c r="E20" s="5">
        <f>$C$20/100*調理2!E3</f>
        <v>0</v>
      </c>
      <c r="F20" s="5">
        <f>$C$20/100*調理2!F3</f>
        <v>0</v>
      </c>
      <c r="G20" s="5">
        <f>$C$20/100*調理2!G3</f>
        <v>0</v>
      </c>
      <c r="H20" s="5">
        <f>$C$20/100*調理2!H3</f>
        <v>0</v>
      </c>
      <c r="I20" s="5">
        <f>$C$20/100*調理2!I3</f>
        <v>0</v>
      </c>
      <c r="J20" s="5">
        <f>$C$20/100*調理2!J3</f>
        <v>0</v>
      </c>
      <c r="K20" s="5">
        <f>$C$20/100*調理2!K3</f>
        <v>0</v>
      </c>
      <c r="L20" s="5">
        <f>$C$20/100*調理2!L3</f>
        <v>0</v>
      </c>
      <c r="M20" s="5"/>
    </row>
    <row r="21" spans="1:13" ht="13.5" customHeight="1">
      <c r="A21" s="174" t="s">
        <v>1158</v>
      </c>
      <c r="B21" s="96" t="str">
        <f>調理3!B3</f>
        <v>野菜・カマボコ・サラダ9/8</v>
      </c>
      <c r="C21" s="4"/>
      <c r="D21" s="5">
        <f>$C$21/100*調理3!D3</f>
        <v>0</v>
      </c>
      <c r="E21" s="5">
        <f>$C$21/100*調理3!E3</f>
        <v>0</v>
      </c>
      <c r="F21" s="5">
        <f>$C$21/100*調理3!F3</f>
        <v>0</v>
      </c>
      <c r="G21" s="5">
        <f>$C$21/100*調理3!G3</f>
        <v>0</v>
      </c>
      <c r="H21" s="5">
        <f>$C$21/100*調理3!H3</f>
        <v>0</v>
      </c>
      <c r="I21" s="5">
        <f>$C$21/100*調理3!I3</f>
        <v>0</v>
      </c>
      <c r="J21" s="5">
        <f>$C$21/100*調理3!J3</f>
        <v>0</v>
      </c>
      <c r="K21" s="5">
        <f>$C$21/100*調理3!K3</f>
        <v>0</v>
      </c>
      <c r="L21" s="5">
        <f>$C$21/100*調理3!L3</f>
        <v>0</v>
      </c>
      <c r="M21" s="5"/>
    </row>
    <row r="22" spans="1:13" ht="13.5" customHeight="1">
      <c r="A22" s="174" t="s">
        <v>1159</v>
      </c>
      <c r="B22" s="101" t="str">
        <f>調理4!B3</f>
        <v>ささげ油炒め9/14</v>
      </c>
      <c r="C22" s="21"/>
      <c r="D22" s="22">
        <f>$C$22/100*調理4!D3</f>
        <v>0</v>
      </c>
      <c r="E22" s="22">
        <f>$C$22/100*調理4!E3</f>
        <v>0</v>
      </c>
      <c r="F22" s="22">
        <f>$C$22/100*調理4!F3</f>
        <v>0</v>
      </c>
      <c r="G22" s="22">
        <f>$C$22/100*調理4!G3</f>
        <v>0</v>
      </c>
      <c r="H22" s="22">
        <f>$C$22/100*調理4!H3</f>
        <v>0</v>
      </c>
      <c r="I22" s="22">
        <f>$C$22/100*調理4!I3</f>
        <v>0</v>
      </c>
      <c r="J22" s="22">
        <f>$C$22/100*調理4!J3</f>
        <v>0</v>
      </c>
      <c r="K22" s="22">
        <f>$C$22/100*調理4!K3</f>
        <v>0</v>
      </c>
      <c r="L22" s="22">
        <f>$C$22/100*調理4!L3</f>
        <v>0</v>
      </c>
      <c r="M22" s="22"/>
    </row>
    <row r="23" spans="1:13" ht="13.5" customHeight="1">
      <c r="A23" s="174" t="s">
        <v>1160</v>
      </c>
      <c r="B23" s="96" t="str">
        <f>調理5!B3</f>
        <v>刺身9/13</v>
      </c>
      <c r="C23" s="4"/>
      <c r="D23" s="5">
        <f>$C$23/100*調理5!D3</f>
        <v>0</v>
      </c>
      <c r="E23" s="5">
        <f>$C$23/100*調理5!E3</f>
        <v>0</v>
      </c>
      <c r="F23" s="5">
        <f>$C$23/100*調理5!F3</f>
        <v>0</v>
      </c>
      <c r="G23" s="5">
        <f>$C$23/100*調理5!G3</f>
        <v>0</v>
      </c>
      <c r="H23" s="5">
        <f>$C$23/100*調理5!H3</f>
        <v>0</v>
      </c>
      <c r="I23" s="5">
        <f>$C$23/100*調理5!I3</f>
        <v>0</v>
      </c>
      <c r="J23" s="5">
        <f>$C$23/100*調理5!J3</f>
        <v>0</v>
      </c>
      <c r="K23" s="5">
        <f>$C$23/100*調理5!K3</f>
        <v>0</v>
      </c>
      <c r="L23" s="5">
        <f>$C$23/100*調理5!L3</f>
        <v>0</v>
      </c>
      <c r="M23" s="5"/>
    </row>
    <row r="24" spans="1:13" ht="13.5" customHeight="1">
      <c r="A24" s="174" t="s">
        <v>1161</v>
      </c>
      <c r="B24" s="96" t="str">
        <f>調理6!B3</f>
        <v>焼き肉7/23</v>
      </c>
      <c r="C24" s="4"/>
      <c r="D24" s="5">
        <f>$C$24/100*調理6!D3</f>
        <v>0</v>
      </c>
      <c r="E24" s="5">
        <f>$C$24/100*調理6!E3</f>
        <v>0</v>
      </c>
      <c r="F24" s="5">
        <f>$C$24/100*調理6!F3</f>
        <v>0</v>
      </c>
      <c r="G24" s="5">
        <f>$C$24/100*調理6!G3</f>
        <v>0</v>
      </c>
      <c r="H24" s="5">
        <f>$C$24/100*調理6!H3</f>
        <v>0</v>
      </c>
      <c r="I24" s="5">
        <f>$C$24/100*調理6!I3</f>
        <v>0</v>
      </c>
      <c r="J24" s="5">
        <f>$C$24/100*調理6!J3</f>
        <v>0</v>
      </c>
      <c r="K24" s="5">
        <f>$C$24/100*調理6!K3</f>
        <v>0</v>
      </c>
      <c r="L24" s="5">
        <f>$C$24/100*調理6!L3</f>
        <v>0</v>
      </c>
      <c r="M24" s="5"/>
    </row>
    <row r="25" spans="1:13" ht="13.5" customHeight="1">
      <c r="A25" s="174" t="s">
        <v>1162</v>
      </c>
      <c r="B25" s="96" t="str">
        <f>調理7!B3</f>
        <v>酢の物（わかめ・キュウリ）9/5</v>
      </c>
      <c r="C25" s="4"/>
      <c r="D25" s="5">
        <f>$C$25/100*調理7!D3</f>
        <v>0</v>
      </c>
      <c r="E25" s="5">
        <f>$C$25/100*調理7!E3</f>
        <v>0</v>
      </c>
      <c r="F25" s="5">
        <f>$C$25/100*調理7!F3</f>
        <v>0</v>
      </c>
      <c r="G25" s="5">
        <f>$C$25/100*調理7!G3</f>
        <v>0</v>
      </c>
      <c r="H25" s="5">
        <f>$C$25/100*調理7!H3</f>
        <v>0</v>
      </c>
      <c r="I25" s="5">
        <f>$C$25/100*調理7!I3</f>
        <v>0</v>
      </c>
      <c r="J25" s="5">
        <f>$C$25/100*調理7!J3</f>
        <v>0</v>
      </c>
      <c r="K25" s="5">
        <f>$C$25/100*調理7!K3</f>
        <v>0</v>
      </c>
      <c r="L25" s="5">
        <f>$C$25/100*調理7!L3</f>
        <v>0</v>
      </c>
      <c r="M25" s="5"/>
    </row>
    <row r="26" spans="1:13" ht="13.5" customHeight="1">
      <c r="A26" s="174" t="s">
        <v>1163</v>
      </c>
      <c r="B26" s="96" t="str">
        <f>調理8!B3</f>
        <v>ラーメン(外食・白味噌)推定9/8</v>
      </c>
      <c r="C26" s="4"/>
      <c r="D26" s="5">
        <f>$C$26/100*調理8!D3</f>
        <v>0</v>
      </c>
      <c r="E26" s="5">
        <f>$C$26/100*調理8!E3</f>
        <v>0</v>
      </c>
      <c r="F26" s="5">
        <f>$C$26/100*調理8!F3</f>
        <v>0</v>
      </c>
      <c r="G26" s="5">
        <f>$C$26/100*調理8!G3</f>
        <v>0</v>
      </c>
      <c r="H26" s="5">
        <f>$C$26/100*調理8!H3</f>
        <v>0</v>
      </c>
      <c r="I26" s="5">
        <f>$C$26/100*調理8!I3</f>
        <v>0</v>
      </c>
      <c r="J26" s="5">
        <f>$C$26/100*調理8!J3</f>
        <v>0</v>
      </c>
      <c r="K26" s="5">
        <f>$C$26/100*調理8!K3</f>
        <v>0</v>
      </c>
      <c r="L26" s="5">
        <f>$C$26/100*調理8!L3</f>
        <v>0</v>
      </c>
      <c r="M26" s="5"/>
    </row>
    <row r="27" spans="1:13" ht="13.5" customHeight="1" thickBot="1">
      <c r="A27" s="174" t="s">
        <v>1164</v>
      </c>
      <c r="B27" s="96" t="str">
        <f>調理9!B3</f>
        <v>切干大根・天ぷら・玉葱炒め9/18</v>
      </c>
      <c r="C27" s="4"/>
      <c r="D27" s="5">
        <f>$C$27/100*調理9!D3</f>
        <v>0</v>
      </c>
      <c r="E27" s="5">
        <f>$C$27/100*調理9!E3</f>
        <v>0</v>
      </c>
      <c r="F27" s="5">
        <f>$C$27/100*調理9!F3</f>
        <v>0</v>
      </c>
      <c r="G27" s="5">
        <f>$C$27/100*調理9!G3</f>
        <v>0</v>
      </c>
      <c r="H27" s="5">
        <f>$C$27/100*調理9!H3</f>
        <v>0</v>
      </c>
      <c r="I27" s="5">
        <f>$C$27/100*調理9!I3</f>
        <v>0</v>
      </c>
      <c r="J27" s="5">
        <f>$C$27/100*調理9!J3</f>
        <v>0</v>
      </c>
      <c r="K27" s="5">
        <f>$C$27/100*調理9!K3</f>
        <v>0</v>
      </c>
      <c r="L27" s="5">
        <f>$C$27/100*調理9!L3</f>
        <v>0</v>
      </c>
      <c r="M27" s="5"/>
    </row>
    <row r="28" spans="1:13" ht="13.5" customHeight="1" thickBot="1">
      <c r="A28" s="174" t="s">
        <v>1165</v>
      </c>
      <c r="B28" s="97" t="str">
        <f>調理10!B3</f>
        <v>切干大根・天ぷら・玉葱炒め9/20</v>
      </c>
      <c r="C28" s="87"/>
      <c r="D28" s="86">
        <f>$C$28/100*調理10!D3</f>
        <v>0</v>
      </c>
      <c r="E28" s="86">
        <f>$C$28/100*調理10!E3</f>
        <v>0</v>
      </c>
      <c r="F28" s="86">
        <f>$C$28/100*調理10!F3</f>
        <v>0</v>
      </c>
      <c r="G28" s="86">
        <f>$C$28/100*調理10!G3</f>
        <v>0</v>
      </c>
      <c r="H28" s="86">
        <f>$C$28/100*調理10!H3</f>
        <v>0</v>
      </c>
      <c r="I28" s="86">
        <f>$C$28/100*調理10!I3</f>
        <v>0</v>
      </c>
      <c r="J28" s="86">
        <f>$C$28/100*調理10!J3</f>
        <v>0</v>
      </c>
      <c r="K28" s="86">
        <f>$C$28/100*調理10!K3</f>
        <v>0</v>
      </c>
      <c r="L28" s="86">
        <f>$C$28/100*調理10!L3</f>
        <v>0</v>
      </c>
      <c r="M28" s="86"/>
    </row>
    <row r="29" spans="1:13" ht="13.5" customHeight="1">
      <c r="A29" s="174">
        <v>1</v>
      </c>
      <c r="B29" s="103" t="s">
        <v>253</v>
      </c>
      <c r="C29" s="4"/>
      <c r="D29" s="5">
        <f>C29/100*288</f>
        <v>0</v>
      </c>
      <c r="E29" s="11">
        <f>C29/100*14.7</f>
        <v>0</v>
      </c>
      <c r="F29" s="11">
        <f>C29/100*0.3</f>
        <v>0</v>
      </c>
      <c r="G29" s="11">
        <f>C29/100*56.5</f>
        <v>0</v>
      </c>
      <c r="H29" s="11">
        <f t="shared" ref="H29:H32" si="2">C29/100*0</f>
        <v>0</v>
      </c>
      <c r="I29" s="70"/>
      <c r="J29" s="70"/>
      <c r="K29" s="70"/>
      <c r="L29" s="70">
        <f>C29/100*0.1</f>
        <v>0</v>
      </c>
      <c r="M29" s="19" t="s">
        <v>751</v>
      </c>
    </row>
    <row r="30" spans="1:13" ht="13.5" customHeight="1">
      <c r="A30" s="174">
        <v>2</v>
      </c>
      <c r="B30" s="103" t="s">
        <v>366</v>
      </c>
      <c r="C30" s="4"/>
      <c r="D30" s="5">
        <f>C30/100*384</f>
        <v>0</v>
      </c>
      <c r="E30" s="11">
        <f>C30/100*0</f>
        <v>0</v>
      </c>
      <c r="F30" s="11">
        <f>C30/100*0</f>
        <v>0</v>
      </c>
      <c r="G30" s="11">
        <f>C30/100*99.2</f>
        <v>0</v>
      </c>
      <c r="H30" s="11">
        <f t="shared" si="2"/>
        <v>0</v>
      </c>
      <c r="I30" s="70"/>
      <c r="J30" s="70"/>
      <c r="K30" s="70">
        <f>C30/100*0</f>
        <v>0</v>
      </c>
      <c r="L30" s="70">
        <f>C30/100*0.0025421</f>
        <v>0</v>
      </c>
      <c r="M30" s="19" t="s">
        <v>750</v>
      </c>
    </row>
    <row r="31" spans="1:13" ht="13.5" customHeight="1">
      <c r="A31" s="174">
        <v>3</v>
      </c>
      <c r="B31" s="104" t="s">
        <v>883</v>
      </c>
      <c r="C31" s="4"/>
      <c r="D31" s="5">
        <f>C31/100*14/0.15</f>
        <v>0</v>
      </c>
      <c r="E31" s="11">
        <f>C31/100*1.1/0.15</f>
        <v>0</v>
      </c>
      <c r="F31" s="11">
        <f>C31/100*0/0.15</f>
        <v>0</v>
      </c>
      <c r="G31" s="11">
        <f>C31/100*2.1/0.15</f>
        <v>0</v>
      </c>
      <c r="H31" s="11">
        <f t="shared" si="2"/>
        <v>0</v>
      </c>
      <c r="I31" s="70"/>
      <c r="J31" s="70"/>
      <c r="K31" s="70"/>
      <c r="L31" s="11">
        <f>C31/100*1.9828543/0.15</f>
        <v>0</v>
      </c>
      <c r="M31" s="19" t="s">
        <v>750</v>
      </c>
    </row>
    <row r="32" spans="1:13" ht="13.5" customHeight="1">
      <c r="A32" s="174">
        <v>4</v>
      </c>
      <c r="B32" s="104" t="s">
        <v>1022</v>
      </c>
      <c r="C32" s="4"/>
      <c r="D32" s="5">
        <f>C32/100*5</f>
        <v>0</v>
      </c>
      <c r="E32" s="11">
        <f>C32/100*0</f>
        <v>0</v>
      </c>
      <c r="F32" s="11">
        <f>C32/100*0</f>
        <v>0</v>
      </c>
      <c r="G32" s="11">
        <f>C32/100*2.3</f>
        <v>0</v>
      </c>
      <c r="H32" s="11">
        <f t="shared" si="2"/>
        <v>0</v>
      </c>
      <c r="I32" s="70"/>
      <c r="J32" s="70"/>
      <c r="K32" s="70">
        <f>C32/100*2.1</f>
        <v>0</v>
      </c>
      <c r="L32" s="70">
        <f>C32/100*0</f>
        <v>0</v>
      </c>
      <c r="M32" s="3">
        <v>6</v>
      </c>
    </row>
    <row r="33" spans="1:13" ht="13.5" customHeight="1">
      <c r="A33" s="174">
        <v>5</v>
      </c>
      <c r="B33" s="81" t="s">
        <v>448</v>
      </c>
      <c r="C33" s="4"/>
      <c r="D33" s="5">
        <f>C33/100*151</f>
        <v>0</v>
      </c>
      <c r="E33" s="11">
        <f>C33/100*12.3</f>
        <v>0</v>
      </c>
      <c r="F33" s="11">
        <f>C33/100*10.3</f>
        <v>0</v>
      </c>
      <c r="G33" s="11">
        <f>C33/100*0.3</f>
        <v>0</v>
      </c>
      <c r="H33" s="11">
        <f>C33/100*420</f>
        <v>0</v>
      </c>
      <c r="I33" s="70"/>
      <c r="J33" s="70"/>
      <c r="K33" s="70"/>
      <c r="L33" s="70">
        <f>C33/100*0.4</f>
        <v>0</v>
      </c>
      <c r="M33" s="3">
        <v>3</v>
      </c>
    </row>
    <row r="34" spans="1:13" ht="13.5" customHeight="1">
      <c r="A34" s="174">
        <v>6</v>
      </c>
      <c r="B34" s="81" t="s">
        <v>491</v>
      </c>
      <c r="C34" s="4"/>
      <c r="D34" s="5">
        <f>C34/100*114</f>
        <v>0</v>
      </c>
      <c r="E34" s="11">
        <f>C34/100*24.6</f>
        <v>0</v>
      </c>
      <c r="F34" s="11">
        <f>C34/100*1.1</f>
        <v>0</v>
      </c>
      <c r="G34" s="11">
        <f t="shared" ref="G34" si="3">C34/100*0</f>
        <v>0</v>
      </c>
      <c r="H34" s="11">
        <f>C34/100*52</f>
        <v>0</v>
      </c>
      <c r="I34" s="70"/>
      <c r="J34" s="70"/>
      <c r="K34" s="70"/>
      <c r="L34" s="70">
        <f>C34/100*0.1</f>
        <v>0</v>
      </c>
      <c r="M34" s="3">
        <v>3</v>
      </c>
    </row>
    <row r="35" spans="1:13" ht="13.5" customHeight="1">
      <c r="A35" s="174">
        <v>7</v>
      </c>
      <c r="B35" s="104" t="s">
        <v>896</v>
      </c>
      <c r="C35" s="4"/>
      <c r="D35" s="5">
        <f>C35/100*137/0.9</f>
        <v>0</v>
      </c>
      <c r="E35" s="11">
        <f>C35/100*14.2/0.9</f>
        <v>0</v>
      </c>
      <c r="F35" s="11">
        <f>C35/100*8.9/0.9</f>
        <v>0</v>
      </c>
      <c r="G35" s="11">
        <f>C35/100*0.1/0.9</f>
        <v>0</v>
      </c>
      <c r="H35" s="11">
        <f>C35/100*80.1/0.9</f>
        <v>0</v>
      </c>
      <c r="I35" s="70"/>
      <c r="J35" s="70"/>
      <c r="K35" s="70"/>
      <c r="L35" s="11">
        <f>C35/100*0.6431566/0.9</f>
        <v>0</v>
      </c>
      <c r="M35" s="3">
        <v>3</v>
      </c>
    </row>
    <row r="36" spans="1:13" ht="13.5" customHeight="1">
      <c r="A36" s="174">
        <v>8</v>
      </c>
      <c r="B36" s="81" t="s">
        <v>637</v>
      </c>
      <c r="C36" s="4"/>
      <c r="D36" s="5">
        <f>C36/100*106</f>
        <v>0</v>
      </c>
      <c r="E36" s="11">
        <f>C36/100*24.3</f>
        <v>0</v>
      </c>
      <c r="F36" s="11">
        <f>C36/100*0.4</f>
        <v>0</v>
      </c>
      <c r="G36" s="11">
        <f>C36/100*0</f>
        <v>0</v>
      </c>
      <c r="H36" s="11">
        <f>C36/100*37</f>
        <v>0</v>
      </c>
      <c r="I36" s="70"/>
      <c r="J36" s="70"/>
      <c r="K36" s="70"/>
      <c r="L36" s="70">
        <f>C36/100*0.1093112</f>
        <v>0</v>
      </c>
      <c r="M36" s="3">
        <v>3</v>
      </c>
    </row>
    <row r="37" spans="1:13" ht="13.5" customHeight="1">
      <c r="A37" s="174">
        <v>9</v>
      </c>
      <c r="B37" s="104" t="s">
        <v>643</v>
      </c>
      <c r="C37" s="4"/>
      <c r="D37" s="5">
        <f>C37/100*108</f>
        <v>0</v>
      </c>
      <c r="E37" s="11">
        <f>C37/100*22.8</f>
        <v>0</v>
      </c>
      <c r="F37" s="11">
        <f>C37/100*1.2</f>
        <v>0</v>
      </c>
      <c r="G37" s="11">
        <f>C37/100*0.2</f>
        <v>0</v>
      </c>
      <c r="H37" s="11">
        <f>C37/100*43</f>
        <v>0</v>
      </c>
      <c r="I37" s="70"/>
      <c r="J37" s="70"/>
      <c r="K37" s="70"/>
      <c r="L37" s="70">
        <f>C37/100*0.1</f>
        <v>0</v>
      </c>
      <c r="M37" s="3">
        <v>3</v>
      </c>
    </row>
    <row r="38" spans="1:13" ht="13.5" customHeight="1">
      <c r="A38" s="174">
        <v>10</v>
      </c>
      <c r="B38" s="81" t="s">
        <v>830</v>
      </c>
      <c r="C38" s="4"/>
      <c r="D38" s="5">
        <f>C38/100*139</f>
        <v>0</v>
      </c>
      <c r="E38" s="11">
        <f>C38/100*22.51</f>
        <v>0</v>
      </c>
      <c r="F38" s="11">
        <f>C38/100*4.51</f>
        <v>0</v>
      </c>
      <c r="G38" s="11">
        <f>C38/100*0.11</f>
        <v>0</v>
      </c>
      <c r="H38" s="11">
        <f>C38/100*59</f>
        <v>0</v>
      </c>
      <c r="I38" s="70"/>
      <c r="J38" s="70"/>
      <c r="K38" s="70"/>
      <c r="L38" s="70">
        <f>C38/100*0.1449008</f>
        <v>0</v>
      </c>
      <c r="M38" s="3">
        <v>3</v>
      </c>
    </row>
    <row r="39" spans="1:13" ht="13.5" customHeight="1">
      <c r="A39" s="174">
        <v>11</v>
      </c>
      <c r="B39" s="104" t="s">
        <v>620</v>
      </c>
      <c r="C39" s="4"/>
      <c r="D39" s="5">
        <f>C39/100*180/0.6726</f>
        <v>0</v>
      </c>
      <c r="E39" s="11">
        <f>C39/100*4.63/0.6726</f>
        <v>0</v>
      </c>
      <c r="F39" s="11">
        <f>C39/100*0.61/0.6726</f>
        <v>0</v>
      </c>
      <c r="G39" s="11">
        <f>C39/100*38.62/0.6726</f>
        <v>0</v>
      </c>
      <c r="H39" s="11">
        <f t="shared" ref="H39" si="4">C39/100*0</f>
        <v>0</v>
      </c>
      <c r="I39" s="70"/>
      <c r="J39" s="70"/>
      <c r="K39" s="70">
        <f>C39/100*3.19/0.6726</f>
        <v>0</v>
      </c>
      <c r="L39" s="11">
        <f>C39/100*0.1609416/0.6726</f>
        <v>0</v>
      </c>
      <c r="M39" s="3" t="s">
        <v>754</v>
      </c>
    </row>
    <row r="40" spans="1:13" ht="13.5" customHeight="1">
      <c r="A40" s="174">
        <v>12</v>
      </c>
      <c r="B40" s="104" t="s">
        <v>380</v>
      </c>
      <c r="C40" s="4"/>
      <c r="D40" s="5">
        <f>C40/100*37</f>
        <v>0</v>
      </c>
      <c r="E40" s="11">
        <f>C40/100*0.6</f>
        <v>0</v>
      </c>
      <c r="F40" s="11">
        <f>C40/100*0.1</f>
        <v>0</v>
      </c>
      <c r="G40" s="11">
        <f>C40/100*9.5</f>
        <v>0</v>
      </c>
      <c r="H40" s="11">
        <f t="shared" ref="H40" si="5">C40/100*0</f>
        <v>0</v>
      </c>
      <c r="I40" s="70">
        <f>C40/100*0.1</f>
        <v>0</v>
      </c>
      <c r="J40" s="70">
        <f>C40/100*0.2</f>
        <v>0</v>
      </c>
      <c r="K40" s="70">
        <f>C40/100*0.3</f>
        <v>0</v>
      </c>
      <c r="L40" s="70">
        <f>C40/100*0</f>
        <v>0</v>
      </c>
      <c r="M40" s="3">
        <v>2</v>
      </c>
    </row>
    <row r="41" spans="1:13" ht="13.5" customHeight="1">
      <c r="A41" s="174">
        <v>13</v>
      </c>
      <c r="B41" s="104" t="s">
        <v>732</v>
      </c>
      <c r="C41" s="4"/>
      <c r="D41" s="5">
        <f>C41/100*54</f>
        <v>0</v>
      </c>
      <c r="E41" s="11">
        <f>C41/100*0.2</f>
        <v>0</v>
      </c>
      <c r="F41" s="11">
        <f>C41/100*0.1</f>
        <v>0</v>
      </c>
      <c r="G41" s="11">
        <f>C41/100*14.6</f>
        <v>0</v>
      </c>
      <c r="H41" s="11">
        <f t="shared" ref="H41:H56" si="6">C41/100*0</f>
        <v>0</v>
      </c>
      <c r="I41" s="70">
        <f>C41/100*0.3</f>
        <v>0</v>
      </c>
      <c r="J41" s="70">
        <f>C41/100*1.2</f>
        <v>0</v>
      </c>
      <c r="K41" s="70">
        <f>C41/100*1.5</f>
        <v>0</v>
      </c>
      <c r="L41" s="11">
        <f t="shared" ref="L41:L50" si="7">C41/100*0</f>
        <v>0</v>
      </c>
      <c r="M41" s="3">
        <v>2</v>
      </c>
    </row>
    <row r="42" spans="1:13" ht="13.5" customHeight="1">
      <c r="A42" s="174">
        <v>14</v>
      </c>
      <c r="B42" s="104" t="s">
        <v>503</v>
      </c>
      <c r="C42" s="4"/>
      <c r="D42" s="5">
        <f>C42/100*43</f>
        <v>0</v>
      </c>
      <c r="E42" s="11">
        <f>C42/100*0.3</f>
        <v>0</v>
      </c>
      <c r="F42" s="11">
        <f>C42/100*0.1</f>
        <v>0</v>
      </c>
      <c r="G42" s="11">
        <f>C42/100*11.3</f>
        <v>0</v>
      </c>
      <c r="H42" s="11">
        <f t="shared" si="6"/>
        <v>0</v>
      </c>
      <c r="I42" s="70">
        <f>C42/100*0.7</f>
        <v>0</v>
      </c>
      <c r="J42" s="70">
        <f>C42/100*1.2</f>
        <v>0</v>
      </c>
      <c r="K42" s="70">
        <f>C42/100*1.9</f>
        <v>0</v>
      </c>
      <c r="L42" s="70">
        <f>C42/100*0</f>
        <v>0</v>
      </c>
      <c r="M42" s="3">
        <v>2</v>
      </c>
    </row>
    <row r="43" spans="1:13" ht="13.5" customHeight="1">
      <c r="A43" s="174">
        <v>15</v>
      </c>
      <c r="B43" s="104" t="s">
        <v>541</v>
      </c>
      <c r="C43" s="4"/>
      <c r="D43" s="5">
        <f>C43/100*86</f>
        <v>0</v>
      </c>
      <c r="E43" s="11">
        <f>C43/100*1.1</f>
        <v>0</v>
      </c>
      <c r="F43" s="11">
        <f>C43/100*0.2</f>
        <v>0</v>
      </c>
      <c r="G43" s="11">
        <f>C43/100*22.5</f>
        <v>0</v>
      </c>
      <c r="H43" s="11">
        <f t="shared" si="6"/>
        <v>0</v>
      </c>
      <c r="I43" s="70">
        <f>C43/100*0.1</f>
        <v>0</v>
      </c>
      <c r="J43" s="70">
        <f>C43/100*1</f>
        <v>0</v>
      </c>
      <c r="K43" s="70">
        <f>C43/100*1.1</f>
        <v>0</v>
      </c>
      <c r="L43" s="70">
        <f t="shared" si="7"/>
        <v>0</v>
      </c>
      <c r="M43" s="3">
        <v>2</v>
      </c>
    </row>
    <row r="44" spans="1:13" ht="13.5" customHeight="1">
      <c r="A44" s="174">
        <v>16</v>
      </c>
      <c r="B44" s="81" t="s">
        <v>46</v>
      </c>
      <c r="C44" s="4"/>
      <c r="D44" s="5">
        <f>C44/100*36</f>
        <v>0</v>
      </c>
      <c r="E44" s="11">
        <f>C44/100*1</f>
        <v>0</v>
      </c>
      <c r="F44" s="11">
        <f>C44/100*0.3</f>
        <v>0</v>
      </c>
      <c r="G44" s="11">
        <f>C44/100*8.5</f>
        <v>0</v>
      </c>
      <c r="H44" s="11">
        <f t="shared" si="6"/>
        <v>0</v>
      </c>
      <c r="I44" s="70">
        <f>C44/100*0.6</f>
        <v>0</v>
      </c>
      <c r="J44" s="70">
        <f>C44/100*1</f>
        <v>0</v>
      </c>
      <c r="K44" s="70">
        <f>C44/100*1.6</f>
        <v>0</v>
      </c>
      <c r="L44" s="70">
        <f t="shared" si="7"/>
        <v>0</v>
      </c>
      <c r="M44" s="3">
        <v>2</v>
      </c>
    </row>
    <row r="45" spans="1:13" ht="13.5" customHeight="1">
      <c r="A45" s="174">
        <v>17</v>
      </c>
      <c r="B45" s="104" t="s">
        <v>390</v>
      </c>
      <c r="C45" s="4"/>
      <c r="D45" s="5">
        <f>C45/100*44</f>
        <v>0</v>
      </c>
      <c r="E45" s="11">
        <f>C45/100*0.6</f>
        <v>0</v>
      </c>
      <c r="F45" s="11">
        <f>C45/100*1</f>
        <v>0</v>
      </c>
      <c r="G45" s="11">
        <f>C45/100*9.4</f>
        <v>0</v>
      </c>
      <c r="H45" s="11">
        <f t="shared" si="6"/>
        <v>0</v>
      </c>
      <c r="I45" s="70">
        <f>C45/100*0.4</f>
        <v>0</v>
      </c>
      <c r="J45" s="70">
        <f>C45/100*1.2</f>
        <v>0</v>
      </c>
      <c r="K45" s="70">
        <f>C45/100*1.6</f>
        <v>0</v>
      </c>
      <c r="L45" s="70">
        <f t="shared" si="7"/>
        <v>0</v>
      </c>
      <c r="M45" s="3">
        <v>2</v>
      </c>
    </row>
    <row r="46" spans="1:13" ht="13.5" customHeight="1">
      <c r="A46" s="174">
        <v>18</v>
      </c>
      <c r="B46" s="104" t="s">
        <v>694</v>
      </c>
      <c r="C46" s="4"/>
      <c r="D46" s="5">
        <f>C46/100*40</f>
        <v>0</v>
      </c>
      <c r="E46" s="11">
        <f>C46/100*0.6</f>
        <v>0</v>
      </c>
      <c r="F46" s="11">
        <f>C46/100*0.1</f>
        <v>0</v>
      </c>
      <c r="G46" s="11">
        <f>C46/100*10.2</f>
        <v>0</v>
      </c>
      <c r="H46" s="11">
        <f t="shared" si="6"/>
        <v>0</v>
      </c>
      <c r="I46" s="70">
        <f>C46/100*0.6</f>
        <v>0</v>
      </c>
      <c r="J46" s="70">
        <f>C46/100*0.7</f>
        <v>0</v>
      </c>
      <c r="K46" s="70">
        <f>C46/100*1.3</f>
        <v>0</v>
      </c>
      <c r="L46" s="70">
        <f t="shared" si="7"/>
        <v>0</v>
      </c>
      <c r="M46" s="3">
        <v>2</v>
      </c>
    </row>
    <row r="47" spans="1:13" ht="13.5" customHeight="1">
      <c r="A47" s="174">
        <v>19</v>
      </c>
      <c r="B47" s="103" t="s">
        <v>655</v>
      </c>
      <c r="C47" s="4"/>
      <c r="D47" s="5">
        <f>C47/100*46</f>
        <v>0</v>
      </c>
      <c r="E47" s="11">
        <f>C47/100*0.7</f>
        <v>0</v>
      </c>
      <c r="F47" s="11">
        <f>C47/100*0.1</f>
        <v>0</v>
      </c>
      <c r="G47" s="11">
        <f>C47/100*12</f>
        <v>0</v>
      </c>
      <c r="H47" s="11">
        <f t="shared" si="6"/>
        <v>0</v>
      </c>
      <c r="I47" s="70">
        <f>C47/100*0.5</f>
        <v>0</v>
      </c>
      <c r="J47" s="70">
        <f>C47/100*0.5</f>
        <v>0</v>
      </c>
      <c r="K47" s="70">
        <f>C47/100*1</f>
        <v>0</v>
      </c>
      <c r="L47" s="70">
        <f t="shared" si="7"/>
        <v>0</v>
      </c>
      <c r="M47" s="3">
        <v>2</v>
      </c>
    </row>
    <row r="48" spans="1:13" ht="13.5" customHeight="1">
      <c r="A48" s="174">
        <v>20</v>
      </c>
      <c r="B48" s="103" t="s">
        <v>486</v>
      </c>
      <c r="C48" s="4"/>
      <c r="D48" s="5">
        <f>C48/100*19</f>
        <v>0</v>
      </c>
      <c r="E48" s="11">
        <f>C48/100*0.7</f>
        <v>0</v>
      </c>
      <c r="F48" s="11">
        <f>C48/100*0.1</f>
        <v>0</v>
      </c>
      <c r="G48" s="11">
        <f>C48/100*4.7</f>
        <v>0</v>
      </c>
      <c r="H48" s="11">
        <f t="shared" si="6"/>
        <v>0</v>
      </c>
      <c r="I48" s="70">
        <f>C48/100*0.3</f>
        <v>0</v>
      </c>
      <c r="J48" s="70">
        <f>C48/100*0.7</f>
        <v>0</v>
      </c>
      <c r="K48" s="70">
        <f>C48/100*1</f>
        <v>0</v>
      </c>
      <c r="L48" s="70">
        <f t="shared" si="7"/>
        <v>0</v>
      </c>
      <c r="M48" s="3">
        <v>6</v>
      </c>
    </row>
    <row r="49" spans="1:13" ht="13.5" customHeight="1">
      <c r="A49" s="174">
        <v>21</v>
      </c>
      <c r="B49" s="103" t="s">
        <v>586</v>
      </c>
      <c r="C49" s="4"/>
      <c r="D49" s="5">
        <f>C49/100*59</f>
        <v>0</v>
      </c>
      <c r="E49" s="11">
        <f>C49/100*0.4</f>
        <v>0</v>
      </c>
      <c r="F49" s="11">
        <f>C49/100*0.1</f>
        <v>0</v>
      </c>
      <c r="G49" s="11">
        <f>C49/100*15.7</f>
        <v>0</v>
      </c>
      <c r="H49" s="11">
        <f t="shared" si="6"/>
        <v>0</v>
      </c>
      <c r="I49" s="70">
        <f>C49/100*0.2</f>
        <v>0</v>
      </c>
      <c r="J49" s="70">
        <f>C49/100*0.3</f>
        <v>0</v>
      </c>
      <c r="K49" s="70">
        <f>C49/100*0.5</f>
        <v>0</v>
      </c>
      <c r="L49" s="70">
        <f>C49/100*0</f>
        <v>0</v>
      </c>
      <c r="M49" s="3">
        <v>2</v>
      </c>
    </row>
    <row r="50" spans="1:13" ht="13.5" customHeight="1">
      <c r="A50" s="174">
        <v>22</v>
      </c>
      <c r="B50" s="103" t="s">
        <v>261</v>
      </c>
      <c r="C50" s="4"/>
      <c r="D50" s="5">
        <f>C50/100*168</f>
        <v>0</v>
      </c>
      <c r="E50" s="11">
        <f>C50/100*2.5</f>
        <v>0</v>
      </c>
      <c r="F50" s="11">
        <f>C50/100*0.3</f>
        <v>0</v>
      </c>
      <c r="G50" s="11">
        <f>C50/100*37.1</f>
        <v>0</v>
      </c>
      <c r="H50" s="11">
        <f t="shared" si="6"/>
        <v>0</v>
      </c>
      <c r="I50" s="70">
        <f>C50/100*0</f>
        <v>0</v>
      </c>
      <c r="J50" s="70">
        <f>C50/100*0.3</f>
        <v>0</v>
      </c>
      <c r="K50" s="70">
        <f>C50/100*0.3</f>
        <v>0</v>
      </c>
      <c r="L50" s="70">
        <f t="shared" si="7"/>
        <v>0</v>
      </c>
      <c r="M50" s="3">
        <v>1</v>
      </c>
    </row>
    <row r="51" spans="1:13" ht="13.5" customHeight="1">
      <c r="A51" s="174">
        <v>23</v>
      </c>
      <c r="B51" s="81" t="s">
        <v>549</v>
      </c>
      <c r="C51" s="4"/>
      <c r="D51" s="5">
        <f>C51/100*264</f>
        <v>0</v>
      </c>
      <c r="E51" s="11">
        <f>C51/100*9.3</f>
        <v>0</v>
      </c>
      <c r="F51" s="11">
        <f>C51/100*4.4</f>
        <v>0</v>
      </c>
      <c r="G51" s="11">
        <f>C51/100*46.7</f>
        <v>0</v>
      </c>
      <c r="H51" s="11">
        <f t="shared" si="6"/>
        <v>0</v>
      </c>
      <c r="I51" s="70">
        <f>C51/100*0.4</f>
        <v>0</v>
      </c>
      <c r="J51" s="70">
        <f>C51/100*1.9</f>
        <v>0</v>
      </c>
      <c r="K51" s="70">
        <f>C51/100*2.3</f>
        <v>0</v>
      </c>
      <c r="L51" s="70">
        <f>C51/100*1.3</f>
        <v>0</v>
      </c>
      <c r="M51" s="19">
        <v>1</v>
      </c>
    </row>
    <row r="52" spans="1:13" ht="13.5" customHeight="1">
      <c r="A52" s="174">
        <v>24</v>
      </c>
      <c r="B52" s="81" t="s">
        <v>48</v>
      </c>
      <c r="C52" s="4"/>
      <c r="D52" s="5">
        <f>C52/100*280</f>
        <v>0</v>
      </c>
      <c r="E52" s="11">
        <f>C52/100*7.9</f>
        <v>0</v>
      </c>
      <c r="F52" s="11">
        <f>C52/100*5.3</f>
        <v>0</v>
      </c>
      <c r="G52" s="11">
        <f>C52/100*50.2</f>
        <v>0</v>
      </c>
      <c r="H52" s="11">
        <f t="shared" si="6"/>
        <v>0</v>
      </c>
      <c r="I52" s="70">
        <f>C52/100*0.7</f>
        <v>0</v>
      </c>
      <c r="J52" s="70">
        <f>C52/100*2</f>
        <v>0</v>
      </c>
      <c r="K52" s="70">
        <f>C52/100*2.7</f>
        <v>0</v>
      </c>
      <c r="L52" s="70">
        <f>C52/100*0.7</f>
        <v>0</v>
      </c>
      <c r="M52" s="19" t="s">
        <v>751</v>
      </c>
    </row>
    <row r="53" spans="1:13" ht="13.5" customHeight="1">
      <c r="A53" s="174">
        <v>25</v>
      </c>
      <c r="B53" s="81" t="s">
        <v>1254</v>
      </c>
      <c r="C53" s="4"/>
      <c r="D53" s="5">
        <f>C53/100*460</f>
        <v>0</v>
      </c>
      <c r="E53" s="11">
        <f>C53/100*1.8</f>
        <v>0</v>
      </c>
      <c r="F53" s="11">
        <f>C53/100*18.7</f>
        <v>0</v>
      </c>
      <c r="G53" s="11">
        <f>C53/100*74.8</f>
        <v>0</v>
      </c>
      <c r="H53" s="11">
        <f>C53/100*0</f>
        <v>0</v>
      </c>
      <c r="I53" s="70"/>
      <c r="J53" s="70"/>
      <c r="K53" s="70">
        <f>C53/100*7.35</f>
        <v>0</v>
      </c>
      <c r="L53" s="11">
        <f>C53/100*0.0460122</f>
        <v>0</v>
      </c>
      <c r="M53" s="19" t="s">
        <v>751</v>
      </c>
    </row>
    <row r="54" spans="1:13" ht="13.5" customHeight="1">
      <c r="A54" s="174">
        <v>26</v>
      </c>
      <c r="B54" s="81" t="s">
        <v>527</v>
      </c>
      <c r="C54" s="4"/>
      <c r="D54" s="5">
        <f>C54/100*28</f>
        <v>0</v>
      </c>
      <c r="E54" s="11">
        <f>C54/100*6.5</f>
        <v>0</v>
      </c>
      <c r="F54" s="11">
        <f>C54/100*0.1</f>
        <v>0</v>
      </c>
      <c r="G54" s="11">
        <f>C54/100*7.2</f>
        <v>0</v>
      </c>
      <c r="H54" s="11">
        <f t="shared" ref="H54" si="8">C54/100*0</f>
        <v>0</v>
      </c>
      <c r="I54" s="70">
        <f>C54/100*0.2</f>
        <v>0</v>
      </c>
      <c r="J54" s="70">
        <f>C54/100*2</f>
        <v>0</v>
      </c>
      <c r="K54" s="70">
        <f>C54/100*2.2</f>
        <v>0</v>
      </c>
      <c r="L54" s="70">
        <f>C54/100*0</f>
        <v>0</v>
      </c>
      <c r="M54" s="3">
        <v>6</v>
      </c>
    </row>
    <row r="55" spans="1:13" ht="13.5" customHeight="1">
      <c r="A55" s="174">
        <v>27</v>
      </c>
      <c r="B55" s="81" t="s">
        <v>1109</v>
      </c>
      <c r="C55" s="4"/>
      <c r="D55" s="5">
        <f>C55/100*87</f>
        <v>0</v>
      </c>
      <c r="E55" s="11">
        <f>C55/100*8.1</f>
        <v>0</v>
      </c>
      <c r="F55" s="11">
        <f>C55/100*5.4</f>
        <v>0</v>
      </c>
      <c r="G55" s="11">
        <f>C55/100*1.6</f>
        <v>0</v>
      </c>
      <c r="H55" s="11">
        <f t="shared" si="6"/>
        <v>0</v>
      </c>
      <c r="I55" s="70"/>
      <c r="J55" s="70"/>
      <c r="K55" s="70">
        <f>C55/100*0.2</f>
        <v>0</v>
      </c>
      <c r="L55" s="11">
        <f t="shared" ref="L55" si="9">C55/100*0</f>
        <v>0</v>
      </c>
      <c r="M55" s="3">
        <v>3</v>
      </c>
    </row>
    <row r="56" spans="1:13" ht="13.5" customHeight="1">
      <c r="A56" s="174">
        <v>28</v>
      </c>
      <c r="B56" s="104" t="s">
        <v>607</v>
      </c>
      <c r="C56" s="4"/>
      <c r="D56" s="5">
        <f>C56/100*256</f>
        <v>0</v>
      </c>
      <c r="E56" s="11">
        <f>C56/100*2.6</f>
        <v>0</v>
      </c>
      <c r="F56" s="11">
        <f>C56/100*0.6</f>
        <v>0</v>
      </c>
      <c r="G56" s="11">
        <f>C56/100*67.5</f>
        <v>0</v>
      </c>
      <c r="H56" s="11">
        <f t="shared" si="6"/>
        <v>0</v>
      </c>
      <c r="I56" s="70"/>
      <c r="J56" s="70"/>
      <c r="K56" s="70">
        <f>C56/100*7</f>
        <v>0</v>
      </c>
      <c r="L56" s="11">
        <f>C56/100*0.1804905</f>
        <v>0</v>
      </c>
      <c r="M56" s="3">
        <v>1</v>
      </c>
    </row>
    <row r="57" spans="1:13" ht="13.5" customHeight="1">
      <c r="A57" s="174">
        <v>29</v>
      </c>
      <c r="B57" s="104" t="s">
        <v>56</v>
      </c>
      <c r="C57" s="4"/>
      <c r="D57" s="5">
        <f>C57/100*241</f>
        <v>0</v>
      </c>
      <c r="E57" s="11">
        <f>C57/100*30.5</f>
        <v>0</v>
      </c>
      <c r="F57" s="11">
        <f>C57/100*1.3</f>
        <v>0</v>
      </c>
      <c r="G57" s="11">
        <f>C57/100*26.7</f>
        <v>0</v>
      </c>
      <c r="H57" s="11">
        <f>C57/100*280</f>
        <v>0</v>
      </c>
      <c r="I57" s="70"/>
      <c r="J57" s="70"/>
      <c r="K57" s="70"/>
      <c r="L57" s="11">
        <f>C57/100*3.8131815</f>
        <v>0</v>
      </c>
      <c r="M57" s="3">
        <v>3</v>
      </c>
    </row>
    <row r="58" spans="1:13" ht="13.5" customHeight="1">
      <c r="A58" s="174">
        <v>30</v>
      </c>
      <c r="B58" s="104" t="s">
        <v>600</v>
      </c>
      <c r="C58" s="4"/>
      <c r="D58" s="5">
        <f>C58/100*27</f>
        <v>0</v>
      </c>
      <c r="E58" s="11">
        <f>C58/100*3.5</f>
        <v>0</v>
      </c>
      <c r="F58" s="11">
        <f>C58/100*0.4</f>
        <v>0</v>
      </c>
      <c r="G58" s="11">
        <f>C58/100*4.3</f>
        <v>0</v>
      </c>
      <c r="H58" s="11">
        <f t="shared" ref="H58:H59" si="10">C58/100*0</f>
        <v>0</v>
      </c>
      <c r="I58" s="70">
        <f>C58/100*0.8</f>
        <v>0</v>
      </c>
      <c r="J58" s="70">
        <f>C58/100*2.9</f>
        <v>0</v>
      </c>
      <c r="K58" s="70">
        <f>C58/100*3.7</f>
        <v>0</v>
      </c>
      <c r="L58" s="70">
        <f>C58/100*0</f>
        <v>0</v>
      </c>
      <c r="M58" s="3">
        <v>6</v>
      </c>
    </row>
    <row r="59" spans="1:13" ht="13.5" customHeight="1">
      <c r="A59" s="174">
        <v>31</v>
      </c>
      <c r="B59" s="104" t="s">
        <v>433</v>
      </c>
      <c r="C59" s="4"/>
      <c r="D59" s="5">
        <f>C59/100*25</f>
        <v>0</v>
      </c>
      <c r="E59" s="11">
        <f>C59/100*2.2</f>
        <v>0</v>
      </c>
      <c r="F59" s="11">
        <f t="shared" ref="F59" si="11">C59/100*0.1</f>
        <v>0</v>
      </c>
      <c r="G59" s="11">
        <f>C59/100*5.4</f>
        <v>0</v>
      </c>
      <c r="H59" s="11">
        <f t="shared" si="10"/>
        <v>0</v>
      </c>
      <c r="I59" s="70">
        <f>C59/100*0.8</f>
        <v>0</v>
      </c>
      <c r="J59" s="70">
        <f>C59/100*2.8</f>
        <v>0</v>
      </c>
      <c r="K59" s="70">
        <f>C59/100*3.6</f>
        <v>0</v>
      </c>
      <c r="L59" s="70">
        <f>C59/100*0.1</f>
        <v>0</v>
      </c>
      <c r="M59" s="3">
        <v>6</v>
      </c>
    </row>
    <row r="60" spans="1:13" ht="13.5" customHeight="1">
      <c r="A60" s="174">
        <v>32</v>
      </c>
      <c r="B60" s="81" t="s">
        <v>1092</v>
      </c>
      <c r="C60" s="4"/>
      <c r="D60" s="5">
        <f>C60/100*459</f>
        <v>0</v>
      </c>
      <c r="E60" s="11">
        <f>C60/100*11.1</f>
        <v>0</v>
      </c>
      <c r="F60" s="11">
        <f>C60/100*15.8</f>
        <v>0</v>
      </c>
      <c r="G60" s="11">
        <f>C60/100*68</f>
        <v>0</v>
      </c>
      <c r="H60" s="11">
        <f t="shared" ref="H60:H63" si="12">C60/100*0</f>
        <v>0</v>
      </c>
      <c r="I60" s="70"/>
      <c r="J60" s="70"/>
      <c r="K60" s="70"/>
      <c r="L60" s="11">
        <f>C60/100*0.66</f>
        <v>0</v>
      </c>
      <c r="M60" s="19" t="s">
        <v>751</v>
      </c>
    </row>
    <row r="61" spans="1:13" ht="13.5" customHeight="1">
      <c r="A61" s="174">
        <v>33</v>
      </c>
      <c r="B61" s="81" t="s">
        <v>1087</v>
      </c>
      <c r="C61" s="4"/>
      <c r="D61" s="5">
        <f>C61/100*380</f>
        <v>0</v>
      </c>
      <c r="E61" s="11">
        <f>C61/100*2.9</f>
        <v>0</v>
      </c>
      <c r="F61" s="11">
        <f>C61/100*1.7</f>
        <v>0</v>
      </c>
      <c r="G61" s="11">
        <f>C61/100*88.2</f>
        <v>0</v>
      </c>
      <c r="H61" s="11">
        <f t="shared" si="12"/>
        <v>0</v>
      </c>
      <c r="I61" s="70"/>
      <c r="J61" s="70"/>
      <c r="K61" s="70"/>
      <c r="L61" s="11">
        <f>C61/100*0.0177948</f>
        <v>0</v>
      </c>
      <c r="M61" s="19" t="s">
        <v>751</v>
      </c>
    </row>
    <row r="62" spans="1:13" ht="13.5" customHeight="1">
      <c r="A62" s="174">
        <v>34</v>
      </c>
      <c r="B62" s="104" t="s">
        <v>730</v>
      </c>
      <c r="C62" s="4"/>
      <c r="D62" s="5">
        <f>C62/100*585</f>
        <v>0</v>
      </c>
      <c r="E62" s="11">
        <f>C62/100*26.5</f>
        <v>0</v>
      </c>
      <c r="F62" s="11">
        <f>C62/100*49.4</f>
        <v>0</v>
      </c>
      <c r="G62" s="11">
        <f>C62/100*19.6</f>
        <v>0</v>
      </c>
      <c r="H62" s="11">
        <f t="shared" si="12"/>
        <v>0</v>
      </c>
      <c r="I62" s="70">
        <f>C62/100*0.3</f>
        <v>0</v>
      </c>
      <c r="J62" s="70">
        <f>C62/100*6.9</f>
        <v>0</v>
      </c>
      <c r="K62" s="70">
        <f>C62/100*7.2</f>
        <v>0</v>
      </c>
      <c r="L62" s="11">
        <f>C62/100*0.0050842</f>
        <v>0</v>
      </c>
      <c r="M62" s="3">
        <v>5</v>
      </c>
    </row>
    <row r="63" spans="1:13" ht="13.5" customHeight="1">
      <c r="A63" s="174">
        <v>35</v>
      </c>
      <c r="B63" s="104" t="s">
        <v>855</v>
      </c>
      <c r="C63" s="4"/>
      <c r="D63" s="5">
        <f>C63/100*190/0.3</f>
        <v>0</v>
      </c>
      <c r="E63" s="11">
        <f>C63/100*7.8/0.3</f>
        <v>0</v>
      </c>
      <c r="F63" s="11">
        <f>C63/100*14.7/0.3</f>
        <v>0</v>
      </c>
      <c r="G63" s="11">
        <f>C63/100*6/0.3</f>
        <v>0</v>
      </c>
      <c r="H63" s="11">
        <f t="shared" si="12"/>
        <v>0</v>
      </c>
      <c r="I63" s="70"/>
      <c r="J63" s="70"/>
      <c r="K63" s="70">
        <f>C63/100*2.1/0.3</f>
        <v>0</v>
      </c>
      <c r="L63" s="11">
        <f>C63/100*0.0040673/0.3</f>
        <v>0</v>
      </c>
      <c r="M63" s="3">
        <v>5</v>
      </c>
    </row>
    <row r="64" spans="1:13" ht="13.5" customHeight="1">
      <c r="A64" s="174">
        <v>36</v>
      </c>
      <c r="B64" s="104" t="s">
        <v>76</v>
      </c>
      <c r="C64" s="4"/>
      <c r="D64" s="5">
        <f>C64/100*435</f>
        <v>0</v>
      </c>
      <c r="E64" s="11">
        <f>C64/100*10.8</f>
        <v>0</v>
      </c>
      <c r="F64" s="11">
        <f>C64/100*10.6</f>
        <v>0</v>
      </c>
      <c r="G64" s="11">
        <f>C64/100*74.1</f>
        <v>0</v>
      </c>
      <c r="H64" s="11">
        <f t="shared" ref="H64:H68" si="13">C64/100*0</f>
        <v>0</v>
      </c>
      <c r="I64" s="70"/>
      <c r="J64" s="70"/>
      <c r="K64" s="70"/>
      <c r="L64" s="11">
        <f>C64/100*0.3558969</f>
        <v>0</v>
      </c>
      <c r="M64" s="19" t="s">
        <v>751</v>
      </c>
    </row>
    <row r="65" spans="1:13" ht="13.5" customHeight="1">
      <c r="A65" s="174">
        <v>37</v>
      </c>
      <c r="B65" s="104" t="s">
        <v>995</v>
      </c>
      <c r="C65" s="4"/>
      <c r="D65" s="5">
        <f>C65/100*290/1.4</f>
        <v>0</v>
      </c>
      <c r="E65" s="11">
        <f>C65/100*17.5/1.4</f>
        <v>0</v>
      </c>
      <c r="F65" s="11">
        <f>C65/100*8.5/1.4</f>
        <v>0</v>
      </c>
      <c r="G65" s="11">
        <f>C65/100*40.4/1.4</f>
        <v>0</v>
      </c>
      <c r="H65" s="11">
        <f t="shared" si="13"/>
        <v>0</v>
      </c>
      <c r="I65" s="70"/>
      <c r="J65" s="70"/>
      <c r="K65" s="70">
        <f>C65/100*7.1/1.4</f>
        <v>0</v>
      </c>
      <c r="L65" s="11">
        <f>C65/100*1.1693756/1.4</f>
        <v>0</v>
      </c>
      <c r="M65" s="3">
        <v>3</v>
      </c>
    </row>
    <row r="66" spans="1:13" ht="13.5" customHeight="1">
      <c r="A66" s="174">
        <v>38</v>
      </c>
      <c r="B66" s="81" t="s">
        <v>1248</v>
      </c>
      <c r="C66" s="4"/>
      <c r="D66" s="5">
        <f>C66/100*176</f>
        <v>0</v>
      </c>
      <c r="E66" s="11">
        <f>C66/100*8.5</f>
        <v>0</v>
      </c>
      <c r="F66" s="11">
        <f>C66/100*4.1</f>
        <v>0</v>
      </c>
      <c r="G66" s="11">
        <f>C66/100*31.1</f>
        <v>0</v>
      </c>
      <c r="H66" s="11">
        <f t="shared" si="13"/>
        <v>0</v>
      </c>
      <c r="I66" s="70"/>
      <c r="J66" s="70"/>
      <c r="K66" s="70">
        <f>C66/100*4.2</f>
        <v>0</v>
      </c>
      <c r="L66" s="11">
        <f>C66/100*0.7</f>
        <v>0</v>
      </c>
      <c r="M66" s="19">
        <v>1</v>
      </c>
    </row>
    <row r="67" spans="1:13" ht="13.5" customHeight="1">
      <c r="A67" s="174">
        <v>39</v>
      </c>
      <c r="B67" s="104" t="s">
        <v>1014</v>
      </c>
      <c r="C67" s="4"/>
      <c r="D67" s="5">
        <f>C67/100*205</f>
        <v>0</v>
      </c>
      <c r="E67" s="11">
        <f>C67/100*16.6</f>
        <v>0</v>
      </c>
      <c r="F67" s="11">
        <f>C67/100*9.8</f>
        <v>0</v>
      </c>
      <c r="G67" s="11">
        <f>C67/100*13.8</f>
        <v>0</v>
      </c>
      <c r="H67" s="11">
        <f t="shared" si="13"/>
        <v>0</v>
      </c>
      <c r="I67" s="70"/>
      <c r="J67" s="70"/>
      <c r="K67" s="70">
        <f>C67/100*8.8</f>
        <v>0</v>
      </c>
      <c r="L67" s="11">
        <f>C67/100*0.6</f>
        <v>0</v>
      </c>
      <c r="M67" s="3">
        <v>3</v>
      </c>
    </row>
    <row r="68" spans="1:13">
      <c r="A68" s="174">
        <v>40</v>
      </c>
      <c r="B68" s="81" t="s">
        <v>1085</v>
      </c>
      <c r="C68" s="4"/>
      <c r="D68" s="5">
        <f>C68/100*200</f>
        <v>0</v>
      </c>
      <c r="E68" s="11">
        <f>C68/100*10.4</f>
        <v>0</v>
      </c>
      <c r="F68" s="11">
        <f>C68/100*3.6</f>
        <v>0</v>
      </c>
      <c r="G68" s="11">
        <f>C68/100*36.5</f>
        <v>0</v>
      </c>
      <c r="H68" s="11">
        <f t="shared" si="13"/>
        <v>0</v>
      </c>
      <c r="I68" s="70"/>
      <c r="J68" s="70"/>
      <c r="K68" s="70">
        <f>C68/100*5.7</f>
        <v>0</v>
      </c>
      <c r="L68" s="11">
        <f>C68/100*0.6584093</f>
        <v>0</v>
      </c>
      <c r="M68" s="19" t="s">
        <v>751</v>
      </c>
    </row>
    <row r="69" spans="1:13">
      <c r="A69" s="174">
        <v>41</v>
      </c>
      <c r="B69" s="81" t="s">
        <v>1083</v>
      </c>
      <c r="C69" s="4"/>
      <c r="D69" s="5">
        <f>C69/100*371</f>
        <v>0</v>
      </c>
      <c r="E69" s="11">
        <f>C69/100*14.4</f>
        <v>0</v>
      </c>
      <c r="F69" s="11">
        <f>C69/100*8.2</f>
        <v>0</v>
      </c>
      <c r="G69" s="11">
        <f>C69/100*63.2</f>
        <v>0</v>
      </c>
      <c r="H69" s="11">
        <f t="shared" ref="H69:H75" si="14">C69/100*0</f>
        <v>0</v>
      </c>
      <c r="I69" s="70"/>
      <c r="J69" s="70"/>
      <c r="K69" s="70">
        <f>C69/100*6.7</f>
        <v>0</v>
      </c>
      <c r="L69" s="11">
        <f>C69/100*0</f>
        <v>0</v>
      </c>
      <c r="M69" s="19" t="s">
        <v>751</v>
      </c>
    </row>
    <row r="70" spans="1:13">
      <c r="A70" s="174">
        <v>42</v>
      </c>
      <c r="B70" s="104" t="s">
        <v>1123</v>
      </c>
      <c r="C70" s="4"/>
      <c r="D70" s="5">
        <f>C70/100*408</f>
        <v>0</v>
      </c>
      <c r="E70" s="11">
        <f>C70/100*4.6</f>
        <v>0</v>
      </c>
      <c r="F70" s="11">
        <f>C70/100*3.7</f>
        <v>0</v>
      </c>
      <c r="G70" s="11">
        <f>C70/100*89</f>
        <v>0</v>
      </c>
      <c r="H70" s="11">
        <f t="shared" si="14"/>
        <v>0</v>
      </c>
      <c r="I70" s="70"/>
      <c r="J70" s="70"/>
      <c r="K70" s="70"/>
      <c r="L70" s="11">
        <f>C70/100*0.8</f>
        <v>0</v>
      </c>
      <c r="M70" s="3">
        <v>6</v>
      </c>
    </row>
    <row r="71" spans="1:13">
      <c r="A71" s="174">
        <v>43</v>
      </c>
      <c r="B71" s="104" t="s">
        <v>630</v>
      </c>
      <c r="C71" s="4"/>
      <c r="D71" s="5">
        <f>C71/100*397</f>
        <v>0</v>
      </c>
      <c r="E71" s="11">
        <f>C71/100*3.3</f>
        <v>0</v>
      </c>
      <c r="F71" s="11">
        <f>C71/100*2.9</f>
        <v>0</v>
      </c>
      <c r="G71" s="11">
        <f>C71/100*89.3</f>
        <v>0</v>
      </c>
      <c r="H71" s="11">
        <f t="shared" si="14"/>
        <v>0</v>
      </c>
      <c r="I71" s="70"/>
      <c r="J71" s="70"/>
      <c r="K71" s="70">
        <f>C71/100*0</f>
        <v>0</v>
      </c>
      <c r="L71" s="11">
        <f>C71/100*0.8719477503</f>
        <v>0</v>
      </c>
      <c r="M71" s="19" t="s">
        <v>751</v>
      </c>
    </row>
    <row r="72" spans="1:13">
      <c r="A72" s="174">
        <v>44</v>
      </c>
      <c r="B72" s="104" t="s">
        <v>362</v>
      </c>
      <c r="C72" s="4"/>
      <c r="D72" s="5">
        <f>C72/100*393</f>
        <v>0</v>
      </c>
      <c r="E72" s="11">
        <f>C72/100*4.3</f>
        <v>0</v>
      </c>
      <c r="F72" s="11">
        <f>C72/100*1.5</f>
        <v>0</v>
      </c>
      <c r="G72" s="11">
        <f>C72/100*91.2</f>
        <v>0</v>
      </c>
      <c r="H72" s="11">
        <f t="shared" si="14"/>
        <v>0</v>
      </c>
      <c r="I72" s="70"/>
      <c r="J72" s="70"/>
      <c r="K72" s="70">
        <f>C72/100*1.25</f>
        <v>0</v>
      </c>
      <c r="L72" s="11">
        <f>C72/100*0.5923141</f>
        <v>0</v>
      </c>
      <c r="M72" s="3">
        <v>1</v>
      </c>
    </row>
    <row r="73" spans="1:13">
      <c r="A73" s="174">
        <v>45</v>
      </c>
      <c r="B73" s="104" t="s">
        <v>879</v>
      </c>
      <c r="C73" s="4"/>
      <c r="D73" s="5">
        <f>C73/100*99</f>
        <v>0</v>
      </c>
      <c r="E73" s="11">
        <f>C73/100*3.5</f>
        <v>0</v>
      </c>
      <c r="F73" s="11">
        <f>C73/100*1.7</f>
        <v>0</v>
      </c>
      <c r="G73" s="11">
        <f>C73/100*18.6</f>
        <v>0</v>
      </c>
      <c r="H73" s="11">
        <f t="shared" si="14"/>
        <v>0</v>
      </c>
      <c r="I73" s="70">
        <f>C73/100*0.3</f>
        <v>0</v>
      </c>
      <c r="J73" s="70">
        <f>C73/100*2.8</f>
        <v>0</v>
      </c>
      <c r="K73" s="70">
        <f>C73/100*3.1</f>
        <v>0</v>
      </c>
      <c r="L73" s="70">
        <f>C73/100*0.5392986</f>
        <v>0</v>
      </c>
      <c r="M73" s="3">
        <v>6</v>
      </c>
    </row>
    <row r="74" spans="1:13">
      <c r="A74" s="174">
        <v>46</v>
      </c>
      <c r="B74" s="104" t="s">
        <v>912</v>
      </c>
      <c r="C74" s="4"/>
      <c r="D74" s="5">
        <f>C74/100*309</f>
        <v>0</v>
      </c>
      <c r="E74" s="11">
        <f>C74/100*6</f>
        <v>0</v>
      </c>
      <c r="F74" s="11">
        <f>C74/100*1.3</f>
        <v>0</v>
      </c>
      <c r="G74" s="11">
        <f>C74/100*68.3</f>
        <v>0</v>
      </c>
      <c r="H74" s="11">
        <f>C74/100*33</f>
        <v>0</v>
      </c>
      <c r="I74" s="70">
        <f>C74/100*0.3</f>
        <v>0</v>
      </c>
      <c r="J74" s="70">
        <f>C74/100*2.7</f>
        <v>0</v>
      </c>
      <c r="K74" s="70">
        <f>C74/100*3</f>
        <v>0</v>
      </c>
      <c r="L74" s="11">
        <f>C74/100*0.063553</f>
        <v>0</v>
      </c>
      <c r="M74" s="19" t="s">
        <v>751</v>
      </c>
    </row>
    <row r="75" spans="1:13">
      <c r="A75" s="174">
        <v>47</v>
      </c>
      <c r="B75" s="104" t="s">
        <v>1233</v>
      </c>
      <c r="C75" s="4"/>
      <c r="D75" s="5">
        <f>C75/100*435</f>
        <v>0</v>
      </c>
      <c r="E75" s="11">
        <f>C75/100*10.8</f>
        <v>0</v>
      </c>
      <c r="F75" s="11">
        <f>C75/100*10.6</f>
        <v>0</v>
      </c>
      <c r="G75" s="11">
        <f>C75/100*74.1</f>
        <v>0</v>
      </c>
      <c r="H75" s="11">
        <f t="shared" si="14"/>
        <v>0</v>
      </c>
      <c r="I75" s="70"/>
      <c r="J75" s="70"/>
      <c r="K75" s="70">
        <f>C75/100*2.38</f>
        <v>0</v>
      </c>
      <c r="L75" s="11">
        <f>C75/100*0.3558969</f>
        <v>0</v>
      </c>
      <c r="M75" s="19" t="s">
        <v>751</v>
      </c>
    </row>
    <row r="76" spans="1:13">
      <c r="A76" s="174">
        <v>48</v>
      </c>
      <c r="B76" s="104" t="s">
        <v>296</v>
      </c>
      <c r="C76" s="4"/>
      <c r="D76" s="5">
        <f>C76/100*198</f>
        <v>0</v>
      </c>
      <c r="E76" s="11">
        <f>C76/100*29.3</f>
        <v>0</v>
      </c>
      <c r="F76" s="11">
        <f>C76/100*7.9</f>
        <v>0</v>
      </c>
      <c r="G76" s="11">
        <f>C76/100*0.1</f>
        <v>0</v>
      </c>
      <c r="H76" s="11">
        <f>C76/100*95</f>
        <v>0</v>
      </c>
      <c r="I76" s="70"/>
      <c r="J76" s="70"/>
      <c r="K76" s="70"/>
      <c r="L76" s="11">
        <f>C76/100*2.1</f>
        <v>0</v>
      </c>
      <c r="M76" s="3">
        <v>3</v>
      </c>
    </row>
    <row r="77" spans="1:13">
      <c r="A77" s="174">
        <v>49</v>
      </c>
      <c r="B77" s="104" t="s">
        <v>1115</v>
      </c>
      <c r="C77" s="4"/>
      <c r="D77" s="5">
        <f>C77/100*39/0.36</f>
        <v>0</v>
      </c>
      <c r="E77" s="11">
        <f>C77/100*7.1/0.36</f>
        <v>0</v>
      </c>
      <c r="F77" s="11">
        <f>C77/100*1.05/0.36</f>
        <v>0</v>
      </c>
      <c r="G77" s="11">
        <f>C77/100*0/0.36</f>
        <v>0</v>
      </c>
      <c r="H77" s="11">
        <f>C77/100*14.4/0.36</f>
        <v>0</v>
      </c>
      <c r="I77" s="70"/>
      <c r="J77" s="70"/>
      <c r="K77" s="70">
        <f>C77/100*0/0.36</f>
        <v>0</v>
      </c>
      <c r="L77" s="11">
        <f>C77/100*1.3473241/0.36</f>
        <v>0</v>
      </c>
      <c r="M77" s="3">
        <v>3</v>
      </c>
    </row>
    <row r="78" spans="1:13">
      <c r="A78" s="174">
        <v>50</v>
      </c>
      <c r="B78" s="104" t="s">
        <v>479</v>
      </c>
      <c r="C78" s="4"/>
      <c r="D78" s="5">
        <f>C78/100*99</f>
        <v>0</v>
      </c>
      <c r="E78" s="11">
        <f>C78/100*3.5</f>
        <v>0</v>
      </c>
      <c r="F78" s="11">
        <f>C78/100*1.7</f>
        <v>0</v>
      </c>
      <c r="G78" s="11">
        <f>C78/100*18.6</f>
        <v>0</v>
      </c>
      <c r="H78" s="11">
        <f t="shared" ref="H78" si="15">C78/100*0</f>
        <v>0</v>
      </c>
      <c r="I78" s="70">
        <f>C78/100*0.3</f>
        <v>0</v>
      </c>
      <c r="J78" s="70">
        <f>C78/100*2.8</f>
        <v>0</v>
      </c>
      <c r="K78" s="70">
        <f>C78/100*3.1</f>
        <v>0</v>
      </c>
      <c r="L78" s="70">
        <f>C78/100*0</f>
        <v>0</v>
      </c>
      <c r="M78" s="3">
        <v>6</v>
      </c>
    </row>
  </sheetData>
  <phoneticPr fontId="1"/>
  <conditionalFormatting sqref="E10">
    <cfRule type="cellIs" dxfId="95" priority="7" operator="between">
      <formula>0.1475</formula>
      <formula>0.1825</formula>
    </cfRule>
    <cfRule type="cellIs" dxfId="94" priority="8" operator="lessThan">
      <formula>0.13</formula>
    </cfRule>
    <cfRule type="cellIs" dxfId="93" priority="9" operator="greaterThan">
      <formula>0.2</formula>
    </cfRule>
  </conditionalFormatting>
  <conditionalFormatting sqref="F10">
    <cfRule type="cellIs" dxfId="92" priority="4" operator="between">
      <formula>0.225</formula>
      <formula>0.275</formula>
    </cfRule>
    <cfRule type="cellIs" dxfId="91" priority="5" operator="lessThan">
      <formula>0.2</formula>
    </cfRule>
    <cfRule type="cellIs" dxfId="90" priority="6" operator="greaterThan">
      <formula>0.3</formula>
    </cfRule>
  </conditionalFormatting>
  <conditionalFormatting sqref="G10">
    <cfRule type="cellIs" dxfId="89" priority="1" operator="between">
      <formula>0.5375</formula>
      <formula>0.6125</formula>
    </cfRule>
    <cfRule type="cellIs" dxfId="88" priority="2" operator="lessThan">
      <formula>0.5</formula>
    </cfRule>
    <cfRule type="cellIs" dxfId="87" priority="3" operator="greaterThan">
      <formula>0.65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7" sqref="P27"/>
    </sheetView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78"/>
  <sheetViews>
    <sheetView topLeftCell="A49" zoomScale="160" zoomScaleNormal="160" workbookViewId="0">
      <selection activeCell="A49" sqref="A1:XFD1048576"/>
    </sheetView>
  </sheetViews>
  <sheetFormatPr defaultRowHeight="13.5"/>
  <cols>
    <col min="1" max="1" width="4.875" style="172" bestFit="1" customWidth="1"/>
    <col min="2" max="2" width="29.5" bestFit="1" customWidth="1"/>
    <col min="3" max="3" width="5.75" bestFit="1" customWidth="1"/>
    <col min="4" max="4" width="8.5" bestFit="1" customWidth="1"/>
    <col min="5" max="6" width="6.5" bestFit="1" customWidth="1"/>
    <col min="7" max="7" width="7.5" bestFit="1" customWidth="1"/>
    <col min="8" max="8" width="8.375" bestFit="1" customWidth="1"/>
    <col min="9" max="10" width="6.375" bestFit="1" customWidth="1"/>
    <col min="11" max="11" width="6.5" bestFit="1" customWidth="1"/>
    <col min="12" max="12" width="6" bestFit="1" customWidth="1"/>
    <col min="13" max="13" width="8.875" customWidth="1"/>
    <col min="15" max="16" width="11" bestFit="1" customWidth="1"/>
    <col min="18" max="18" width="6.5" bestFit="1" customWidth="1"/>
    <col min="19" max="19" width="6.375" bestFit="1" customWidth="1"/>
    <col min="20" max="20" width="8.5" bestFit="1" customWidth="1"/>
    <col min="21" max="21" width="9" bestFit="1" customWidth="1"/>
    <col min="22" max="22" width="6.375" bestFit="1" customWidth="1"/>
    <col min="23" max="25" width="7.125" bestFit="1" customWidth="1"/>
    <col min="26" max="26" width="12.25" bestFit="1" customWidth="1"/>
    <col min="27" max="28" width="7.125" bestFit="1" customWidth="1"/>
  </cols>
  <sheetData>
    <row r="1" spans="1:29" ht="14.25" thickBot="1">
      <c r="H1" s="67"/>
    </row>
    <row r="2" spans="1:29" ht="63" customHeight="1" thickBot="1">
      <c r="A2" s="173"/>
      <c r="B2" s="145">
        <f>B12</f>
        <v>0</v>
      </c>
      <c r="C2" s="2"/>
      <c r="D2" s="114" t="s">
        <v>1166</v>
      </c>
      <c r="E2" s="114" t="s">
        <v>3</v>
      </c>
      <c r="F2" s="114" t="s">
        <v>4</v>
      </c>
      <c r="G2" s="114" t="s">
        <v>5</v>
      </c>
      <c r="H2" s="146" t="s">
        <v>1167</v>
      </c>
      <c r="I2" s="83" t="s">
        <v>6</v>
      </c>
      <c r="J2" s="83" t="s">
        <v>7</v>
      </c>
      <c r="K2" s="115" t="s">
        <v>8</v>
      </c>
      <c r="L2" s="116" t="s">
        <v>9</v>
      </c>
      <c r="O2" s="261"/>
      <c r="P2" s="262"/>
      <c r="Q2" s="263" t="s">
        <v>1169</v>
      </c>
      <c r="R2" s="262" t="s">
        <v>757</v>
      </c>
      <c r="S2" s="262" t="s">
        <v>4</v>
      </c>
      <c r="T2" s="262" t="s">
        <v>5</v>
      </c>
      <c r="U2" s="262" t="s">
        <v>1148</v>
      </c>
      <c r="V2" s="264" t="s">
        <v>1170</v>
      </c>
      <c r="W2" s="264" t="s">
        <v>1171</v>
      </c>
      <c r="X2" s="264" t="s">
        <v>1172</v>
      </c>
      <c r="Y2" s="265" t="s">
        <v>1173</v>
      </c>
      <c r="Z2" s="180"/>
      <c r="AA2" s="215" t="s">
        <v>1192</v>
      </c>
      <c r="AB2" s="216" t="s">
        <v>1174</v>
      </c>
    </row>
    <row r="3" spans="1:29" ht="13.5" customHeight="1">
      <c r="B3" s="20" t="s">
        <v>761</v>
      </c>
      <c r="C3" s="20" t="s">
        <v>758</v>
      </c>
      <c r="D3" s="5">
        <f>昼食!D3</f>
        <v>120.96</v>
      </c>
      <c r="E3" s="5">
        <f>昼食!E3</f>
        <v>1.23</v>
      </c>
      <c r="F3" s="5">
        <f>昼食!F3</f>
        <v>0.222</v>
      </c>
      <c r="G3" s="5">
        <f>昼食!G3</f>
        <v>31.382000000000001</v>
      </c>
      <c r="H3" s="5">
        <f>昼食!H3</f>
        <v>0</v>
      </c>
      <c r="I3" s="5">
        <f>昼食!I3</f>
        <v>0</v>
      </c>
      <c r="J3" s="5">
        <f>昼食!J3</f>
        <v>0</v>
      </c>
      <c r="K3" s="5">
        <f>昼食!K3</f>
        <v>2.52</v>
      </c>
      <c r="L3" s="5">
        <f>昼食!L3</f>
        <v>6.7129105999999994E-2</v>
      </c>
      <c r="O3" s="256" t="s">
        <v>777</v>
      </c>
      <c r="P3" s="257"/>
      <c r="Q3" s="258"/>
      <c r="R3" s="258">
        <v>52.47</v>
      </c>
      <c r="S3" s="258"/>
      <c r="T3" s="258"/>
      <c r="U3" s="258"/>
      <c r="V3" s="259"/>
      <c r="W3" s="259"/>
      <c r="X3" s="259">
        <v>30</v>
      </c>
      <c r="Y3" s="260"/>
      <c r="Z3" s="211"/>
      <c r="AA3" s="219" t="s">
        <v>769</v>
      </c>
      <c r="AB3" s="217">
        <f>AB4*1.1</f>
        <v>57.2</v>
      </c>
      <c r="AC3" s="180"/>
    </row>
    <row r="4" spans="1:29" ht="13.5" customHeight="1">
      <c r="B4" s="20" t="s">
        <v>762</v>
      </c>
      <c r="C4" s="20" t="s">
        <v>758</v>
      </c>
      <c r="D4" s="5">
        <f>昼食!D4</f>
        <v>0</v>
      </c>
      <c r="E4" s="5">
        <f>昼食!E4</f>
        <v>0</v>
      </c>
      <c r="F4" s="5">
        <f>昼食!F4</f>
        <v>0</v>
      </c>
      <c r="G4" s="5">
        <f>昼食!G4</f>
        <v>0</v>
      </c>
      <c r="H4" s="5">
        <f>昼食!H4</f>
        <v>0</v>
      </c>
      <c r="I4" s="5">
        <f>昼食!I4</f>
        <v>0</v>
      </c>
      <c r="J4" s="5">
        <f>昼食!J4</f>
        <v>0</v>
      </c>
      <c r="K4" s="5">
        <f>昼食!K4</f>
        <v>0</v>
      </c>
      <c r="L4" s="5">
        <f>昼食!L4</f>
        <v>0</v>
      </c>
      <c r="O4" s="252" t="s">
        <v>1190</v>
      </c>
      <c r="P4" s="90"/>
      <c r="Q4" s="206">
        <v>1919</v>
      </c>
      <c r="R4" s="205"/>
      <c r="S4" s="205">
        <v>50</v>
      </c>
      <c r="T4" s="205">
        <v>314.06</v>
      </c>
      <c r="U4" s="205">
        <v>750</v>
      </c>
      <c r="V4" s="205"/>
      <c r="W4" s="206"/>
      <c r="X4" s="251"/>
      <c r="Y4" s="253">
        <v>8</v>
      </c>
      <c r="Z4" s="212"/>
      <c r="AA4" s="220" t="s">
        <v>1168</v>
      </c>
      <c r="AB4" s="218">
        <v>52</v>
      </c>
      <c r="AC4" s="211"/>
    </row>
    <row r="5" spans="1:29" ht="13.5" customHeight="1" thickBot="1">
      <c r="B5" s="20" t="s">
        <v>763</v>
      </c>
      <c r="C5" s="20" t="s">
        <v>758</v>
      </c>
      <c r="D5" s="22">
        <f>SUM(D15:D78)</f>
        <v>0</v>
      </c>
      <c r="E5" s="22">
        <f t="shared" ref="E5:L5" si="0">SUM(E15:E78)</f>
        <v>0</v>
      </c>
      <c r="F5" s="22">
        <f t="shared" si="0"/>
        <v>0</v>
      </c>
      <c r="G5" s="22">
        <f t="shared" si="0"/>
        <v>0</v>
      </c>
      <c r="H5" s="22">
        <f t="shared" si="0"/>
        <v>0</v>
      </c>
      <c r="I5" s="22">
        <f t="shared" si="0"/>
        <v>0</v>
      </c>
      <c r="J5" s="22">
        <f t="shared" si="0"/>
        <v>0</v>
      </c>
      <c r="K5" s="22">
        <f t="shared" si="0"/>
        <v>0</v>
      </c>
      <c r="L5" s="22">
        <f t="shared" si="0"/>
        <v>0</v>
      </c>
      <c r="O5" s="252" t="s">
        <v>771</v>
      </c>
      <c r="P5" s="15"/>
      <c r="Q5" s="205">
        <v>1800</v>
      </c>
      <c r="R5" s="205"/>
      <c r="S5" s="205">
        <v>40</v>
      </c>
      <c r="T5" s="205">
        <f>(T6+T4)/2</f>
        <v>269.19499999999999</v>
      </c>
      <c r="U5" s="206">
        <v>650</v>
      </c>
      <c r="V5" s="205"/>
      <c r="W5" s="205"/>
      <c r="X5" s="205">
        <v>24</v>
      </c>
      <c r="Y5" s="207">
        <v>6</v>
      </c>
      <c r="Z5" s="213"/>
      <c r="AA5" s="221" t="s">
        <v>773</v>
      </c>
      <c r="AB5" s="210">
        <f>AB4*0.9</f>
        <v>46.800000000000004</v>
      </c>
      <c r="AC5" s="212"/>
    </row>
    <row r="6" spans="1:29" ht="13.5" customHeight="1" thickBot="1">
      <c r="B6" s="1"/>
      <c r="C6" s="163" t="s">
        <v>779</v>
      </c>
      <c r="D6" s="164">
        <f>SUM(D3:D5)</f>
        <v>120.96</v>
      </c>
      <c r="E6" s="165">
        <f t="shared" ref="E6:L6" si="1">SUM(E3:E5)</f>
        <v>1.23</v>
      </c>
      <c r="F6" s="165">
        <f t="shared" si="1"/>
        <v>0.222</v>
      </c>
      <c r="G6" s="165">
        <f t="shared" si="1"/>
        <v>31.382000000000001</v>
      </c>
      <c r="H6" s="165">
        <f t="shared" si="1"/>
        <v>0</v>
      </c>
      <c r="I6" s="266">
        <f t="shared" si="1"/>
        <v>0</v>
      </c>
      <c r="J6" s="266">
        <f t="shared" si="1"/>
        <v>0</v>
      </c>
      <c r="K6" s="165">
        <f t="shared" si="1"/>
        <v>2.52</v>
      </c>
      <c r="L6" s="166">
        <f t="shared" si="1"/>
        <v>6.7129105999999994E-2</v>
      </c>
      <c r="O6" s="254" t="s">
        <v>1191</v>
      </c>
      <c r="P6" s="255"/>
      <c r="Q6" s="208">
        <v>1737</v>
      </c>
      <c r="R6" s="209">
        <v>41.74</v>
      </c>
      <c r="S6" s="209">
        <v>30</v>
      </c>
      <c r="T6" s="209">
        <v>224.33</v>
      </c>
      <c r="U6" s="209"/>
      <c r="V6" s="209"/>
      <c r="W6" s="209"/>
      <c r="X6" s="209">
        <v>19</v>
      </c>
      <c r="Y6" s="210">
        <v>1.5</v>
      </c>
      <c r="Z6" s="213"/>
      <c r="AA6" s="153"/>
      <c r="AB6" s="213"/>
      <c r="AC6" s="213"/>
    </row>
    <row r="7" spans="1:29" ht="13.5" customHeight="1">
      <c r="B7" s="171"/>
      <c r="C7" s="248"/>
      <c r="D7" s="249"/>
      <c r="E7" s="249"/>
      <c r="F7" s="249"/>
      <c r="G7" s="249"/>
      <c r="H7" s="249"/>
      <c r="I7" s="249"/>
      <c r="J7" s="249"/>
      <c r="K7" s="249"/>
      <c r="L7" s="249"/>
      <c r="P7" s="180"/>
      <c r="Q7" s="160"/>
      <c r="R7" s="211"/>
      <c r="S7" s="213"/>
      <c r="T7" s="213"/>
      <c r="U7" s="213"/>
      <c r="V7" s="213"/>
      <c r="W7" s="213"/>
      <c r="X7" s="213"/>
      <c r="Y7" s="213"/>
      <c r="Z7" s="213"/>
      <c r="AA7" s="213"/>
      <c r="AB7" s="153"/>
      <c r="AC7" s="213"/>
    </row>
    <row r="8" spans="1:29" ht="13.5" customHeight="1">
      <c r="B8" s="171"/>
    </row>
    <row r="9" spans="1:29">
      <c r="A9" s="223"/>
      <c r="B9" s="224"/>
      <c r="C9" s="225"/>
      <c r="D9" s="225"/>
      <c r="E9" s="229" t="s">
        <v>3</v>
      </c>
      <c r="F9" s="229" t="s">
        <v>4</v>
      </c>
      <c r="G9" s="229" t="s">
        <v>5</v>
      </c>
      <c r="H9" s="225"/>
      <c r="I9" s="225"/>
      <c r="J9" s="225"/>
      <c r="K9" s="225"/>
      <c r="L9" s="225"/>
      <c r="M9" s="6"/>
    </row>
    <row r="10" spans="1:29">
      <c r="B10" s="1" t="s">
        <v>1194</v>
      </c>
      <c r="C10" s="1"/>
      <c r="D10" s="222">
        <f>SUM(E10:G10)</f>
        <v>1.053290343915344</v>
      </c>
      <c r="E10" s="222">
        <f>E6*4/D6</f>
        <v>4.0674603174603176E-2</v>
      </c>
      <c r="F10" s="222">
        <f>F6*9/D6</f>
        <v>1.6517857142857143E-2</v>
      </c>
      <c r="G10" s="222">
        <f>((G6-K6)*4+K6*2)/D6</f>
        <v>0.99609788359788376</v>
      </c>
      <c r="H10" s="1"/>
      <c r="I10" s="1"/>
      <c r="J10" s="1"/>
      <c r="K10" s="1"/>
      <c r="L10" s="1"/>
      <c r="M10" s="6"/>
    </row>
    <row r="11" spans="1:29">
      <c r="D11" s="227" t="s">
        <v>773</v>
      </c>
      <c r="E11" s="226">
        <v>0.13</v>
      </c>
      <c r="F11" s="226">
        <v>0.2</v>
      </c>
      <c r="G11" s="226">
        <v>0.5</v>
      </c>
    </row>
    <row r="12" spans="1:29">
      <c r="B12" s="168"/>
      <c r="C12" s="118"/>
      <c r="D12" s="227" t="s">
        <v>769</v>
      </c>
      <c r="E12" s="226">
        <v>0.2</v>
      </c>
      <c r="F12" s="226">
        <v>0.3</v>
      </c>
      <c r="G12" s="226">
        <v>0.65</v>
      </c>
    </row>
    <row r="13" spans="1:29">
      <c r="B13" s="168">
        <f>朝食!B13</f>
        <v>42662</v>
      </c>
      <c r="C13" s="118"/>
      <c r="D13" s="227"/>
      <c r="E13" s="226"/>
      <c r="F13" s="226"/>
      <c r="G13" s="226"/>
    </row>
    <row r="14" spans="1:29" ht="40.5" customHeight="1">
      <c r="B14" s="98" t="s">
        <v>0</v>
      </c>
      <c r="C14" s="82" t="s">
        <v>1</v>
      </c>
      <c r="D14" s="82" t="s">
        <v>2</v>
      </c>
      <c r="E14" s="82" t="s">
        <v>3</v>
      </c>
      <c r="F14" s="82" t="s">
        <v>4</v>
      </c>
      <c r="G14" s="114" t="s">
        <v>5</v>
      </c>
      <c r="H14" s="120" t="s">
        <v>1148</v>
      </c>
      <c r="I14" s="83" t="s">
        <v>6</v>
      </c>
      <c r="J14" s="83" t="s">
        <v>7</v>
      </c>
      <c r="K14" s="115" t="s">
        <v>8</v>
      </c>
      <c r="L14" s="116" t="s">
        <v>9</v>
      </c>
      <c r="M14" s="81" t="s">
        <v>746</v>
      </c>
    </row>
    <row r="15" spans="1:29" ht="13.5" customHeight="1">
      <c r="A15" s="174" t="s">
        <v>844</v>
      </c>
      <c r="B15" s="99" t="str">
        <f>粥A!B10</f>
        <v>粥9/17作</v>
      </c>
      <c r="C15" s="4"/>
      <c r="D15" s="5">
        <f>$C$15/100*粥A!D3</f>
        <v>0</v>
      </c>
      <c r="E15" s="5">
        <f>$C$15/100*粥A!E3</f>
        <v>0</v>
      </c>
      <c r="F15" s="5">
        <f>$C$15/100*粥A!F3</f>
        <v>0</v>
      </c>
      <c r="G15" s="5">
        <f>$C$15/100*粥A!G3</f>
        <v>0</v>
      </c>
      <c r="H15" s="5">
        <f>$C$15/100*粥A!H3</f>
        <v>0</v>
      </c>
      <c r="I15" s="5">
        <f>$C$15/100*粥A!I3</f>
        <v>0</v>
      </c>
      <c r="J15" s="5">
        <f>$C$15/100*粥A!J3</f>
        <v>0</v>
      </c>
      <c r="K15" s="5">
        <f>$C$15/100*粥A!K3</f>
        <v>0</v>
      </c>
      <c r="L15" s="5">
        <f>$C$15/100*粥A!L3</f>
        <v>0</v>
      </c>
      <c r="M15" s="5"/>
    </row>
    <row r="16" spans="1:29" ht="13.5" customHeight="1">
      <c r="A16" s="174" t="s">
        <v>845</v>
      </c>
      <c r="B16" s="99" t="str">
        <f>粥B!B3</f>
        <v>粥9/12作</v>
      </c>
      <c r="C16" s="4"/>
      <c r="D16" s="5">
        <f>$C$16/100*粥B!D3</f>
        <v>0</v>
      </c>
      <c r="E16" s="5">
        <f>$C$16/100*粥B!E3</f>
        <v>0</v>
      </c>
      <c r="F16" s="5">
        <f>$C$16/100*粥B!F3</f>
        <v>0</v>
      </c>
      <c r="G16" s="5">
        <f>$C$16/100*粥B!G3</f>
        <v>0</v>
      </c>
      <c r="H16" s="5">
        <f>$C$16/100*粥B!H3</f>
        <v>0</v>
      </c>
      <c r="I16" s="5">
        <f>$C$16/100*粥B!I3</f>
        <v>0</v>
      </c>
      <c r="J16" s="5">
        <f>$C$16/100*粥B!J3</f>
        <v>0</v>
      </c>
      <c r="K16" s="5">
        <f>$C$16/100*粥B!K3</f>
        <v>0</v>
      </c>
      <c r="L16" s="5">
        <f>$C$16/100*粥B!L3</f>
        <v>0</v>
      </c>
      <c r="M16" s="5"/>
    </row>
    <row r="17" spans="1:13" ht="13.5" customHeight="1">
      <c r="A17" s="174" t="s">
        <v>846</v>
      </c>
      <c r="B17" s="100" t="str">
        <f>味噌汁A!B3</f>
        <v>味噌汁・9/21作</v>
      </c>
      <c r="C17" s="4"/>
      <c r="D17" s="5">
        <f>$C$17/100*味噌汁A!D3</f>
        <v>0</v>
      </c>
      <c r="E17" s="5">
        <f>$C$17/100*味噌汁A!E3</f>
        <v>0</v>
      </c>
      <c r="F17" s="5">
        <f>$C$17/100*味噌汁A!F3</f>
        <v>0</v>
      </c>
      <c r="G17" s="5">
        <f>$C$17/100*味噌汁A!G3</f>
        <v>0</v>
      </c>
      <c r="H17" s="5">
        <f>$C$17/100*味噌汁A!H3</f>
        <v>0</v>
      </c>
      <c r="I17" s="5">
        <f>$C$17/100*味噌汁A!I3</f>
        <v>0</v>
      </c>
      <c r="J17" s="5">
        <f>$C$17/100*味噌汁A!J3</f>
        <v>0</v>
      </c>
      <c r="K17" s="5">
        <f>$C$17/100*味噌汁A!K3</f>
        <v>0</v>
      </c>
      <c r="L17" s="5">
        <f>$C$17/100*味噌汁A!L3</f>
        <v>0</v>
      </c>
      <c r="M17" s="5"/>
    </row>
    <row r="18" spans="1:13" ht="13.5" customHeight="1">
      <c r="A18" s="174" t="s">
        <v>843</v>
      </c>
      <c r="B18" s="100" t="str">
        <f>味噌汁B!B3</f>
        <v>味噌汁9/14作</v>
      </c>
      <c r="C18" s="4"/>
      <c r="D18" s="5">
        <f>$C$18/100*味噌汁B!D3</f>
        <v>0</v>
      </c>
      <c r="E18" s="5">
        <f>$C$18/100*味噌汁B!E3</f>
        <v>0</v>
      </c>
      <c r="F18" s="5">
        <f>$C$18/100*味噌汁B!F3</f>
        <v>0</v>
      </c>
      <c r="G18" s="5">
        <f>$C$18/100*味噌汁B!G3</f>
        <v>0</v>
      </c>
      <c r="H18" s="5">
        <f>$C$18/100*味噌汁B!H3</f>
        <v>0</v>
      </c>
      <c r="I18" s="5">
        <f>$C$18/100*味噌汁B!I3</f>
        <v>0</v>
      </c>
      <c r="J18" s="5">
        <f>$C$18/100*味噌汁B!J3</f>
        <v>0</v>
      </c>
      <c r="K18" s="5">
        <f>$C$18/100*味噌汁B!K3</f>
        <v>0</v>
      </c>
      <c r="L18" s="5">
        <f>$C$18/100*味噌汁B!L3</f>
        <v>0</v>
      </c>
      <c r="M18" s="5"/>
    </row>
    <row r="19" spans="1:13" ht="13.5" customHeight="1">
      <c r="A19" s="174" t="s">
        <v>1156</v>
      </c>
      <c r="B19" s="96" t="str">
        <f>調理1!B3</f>
        <v>味噌汁9/16の具・昼食</v>
      </c>
      <c r="C19" s="4"/>
      <c r="D19" s="5">
        <f>$C$19/100*調理1!D3</f>
        <v>0</v>
      </c>
      <c r="E19" s="5">
        <f>$C$19/100*調理1!E3</f>
        <v>0</v>
      </c>
      <c r="F19" s="5">
        <f>$C$19/100*調理1!F3</f>
        <v>0</v>
      </c>
      <c r="G19" s="5">
        <f>$C$19/100*調理1!G3</f>
        <v>0</v>
      </c>
      <c r="H19" s="5">
        <f>$C$19/100*調理1!H3</f>
        <v>0</v>
      </c>
      <c r="I19" s="5">
        <f>$C$19/100*調理1!I3</f>
        <v>0</v>
      </c>
      <c r="J19" s="5">
        <f>$C$19/100*調理1!J3</f>
        <v>0</v>
      </c>
      <c r="K19" s="5">
        <f>$C$19/100*調理1!K3</f>
        <v>0</v>
      </c>
      <c r="L19" s="5">
        <f>$C$19/100*調理1!L3</f>
        <v>0</v>
      </c>
      <c r="M19" s="5"/>
    </row>
    <row r="20" spans="1:13" ht="13.5" customHeight="1">
      <c r="A20" s="174" t="s">
        <v>1157</v>
      </c>
      <c r="B20" s="96" t="str">
        <f>調理2!B3</f>
        <v>味噌汁9/16の具・夕食</v>
      </c>
      <c r="C20" s="4"/>
      <c r="D20" s="5">
        <f>$C$20/100*調理2!D3</f>
        <v>0</v>
      </c>
      <c r="E20" s="5">
        <f>$C$20/100*調理2!E3</f>
        <v>0</v>
      </c>
      <c r="F20" s="5">
        <f>$C$20/100*調理2!F3</f>
        <v>0</v>
      </c>
      <c r="G20" s="5">
        <f>$C$20/100*調理2!G3</f>
        <v>0</v>
      </c>
      <c r="H20" s="5">
        <f>$C$20/100*調理2!H3</f>
        <v>0</v>
      </c>
      <c r="I20" s="5">
        <f>$C$20/100*調理2!I3</f>
        <v>0</v>
      </c>
      <c r="J20" s="5">
        <f>$C$20/100*調理2!J3</f>
        <v>0</v>
      </c>
      <c r="K20" s="5">
        <f>$C$20/100*調理2!K3</f>
        <v>0</v>
      </c>
      <c r="L20" s="5">
        <f>$C$20/100*調理2!L3</f>
        <v>0</v>
      </c>
      <c r="M20" s="5"/>
    </row>
    <row r="21" spans="1:13" ht="13.5" customHeight="1">
      <c r="A21" s="174" t="s">
        <v>1158</v>
      </c>
      <c r="B21" s="96" t="str">
        <f>調理3!B3</f>
        <v>野菜・カマボコ・サラダ9/8</v>
      </c>
      <c r="C21" s="4"/>
      <c r="D21" s="5">
        <f>$C$21/100*調理3!D3</f>
        <v>0</v>
      </c>
      <c r="E21" s="5">
        <f>$C$21/100*調理3!E3</f>
        <v>0</v>
      </c>
      <c r="F21" s="5">
        <f>$C$21/100*調理3!F3</f>
        <v>0</v>
      </c>
      <c r="G21" s="5">
        <f>$C$21/100*調理3!G3</f>
        <v>0</v>
      </c>
      <c r="H21" s="5">
        <f>$C$21/100*調理3!H3</f>
        <v>0</v>
      </c>
      <c r="I21" s="5">
        <f>$C$21/100*調理3!I3</f>
        <v>0</v>
      </c>
      <c r="J21" s="5">
        <f>$C$21/100*調理3!J3</f>
        <v>0</v>
      </c>
      <c r="K21" s="5">
        <f>$C$21/100*調理3!K3</f>
        <v>0</v>
      </c>
      <c r="L21" s="5">
        <f>$C$21/100*調理3!L3</f>
        <v>0</v>
      </c>
      <c r="M21" s="5"/>
    </row>
    <row r="22" spans="1:13" ht="13.5" customHeight="1">
      <c r="A22" s="174" t="s">
        <v>1159</v>
      </c>
      <c r="B22" s="101" t="str">
        <f>調理4!B3</f>
        <v>ささげ油炒め9/14</v>
      </c>
      <c r="C22" s="21"/>
      <c r="D22" s="22">
        <f>$C$22/100*調理4!D3</f>
        <v>0</v>
      </c>
      <c r="E22" s="22">
        <f>$C$22/100*調理4!E3</f>
        <v>0</v>
      </c>
      <c r="F22" s="22">
        <f>$C$22/100*調理4!F3</f>
        <v>0</v>
      </c>
      <c r="G22" s="22">
        <f>$C$22/100*調理4!G3</f>
        <v>0</v>
      </c>
      <c r="H22" s="22">
        <f>$C$22/100*調理4!H3</f>
        <v>0</v>
      </c>
      <c r="I22" s="22">
        <f>$C$22/100*調理4!I3</f>
        <v>0</v>
      </c>
      <c r="J22" s="22">
        <f>$C$22/100*調理4!J3</f>
        <v>0</v>
      </c>
      <c r="K22" s="22">
        <f>$C$22/100*調理4!K3</f>
        <v>0</v>
      </c>
      <c r="L22" s="22">
        <f>$C$22/100*調理4!L3</f>
        <v>0</v>
      </c>
      <c r="M22" s="22"/>
    </row>
    <row r="23" spans="1:13" ht="13.5" customHeight="1">
      <c r="A23" s="174" t="s">
        <v>1160</v>
      </c>
      <c r="B23" s="96" t="str">
        <f>調理5!B3</f>
        <v>刺身9/13</v>
      </c>
      <c r="C23" s="4"/>
      <c r="D23" s="5">
        <f>$C$23/100*調理5!D3</f>
        <v>0</v>
      </c>
      <c r="E23" s="5">
        <f>$C$23/100*調理5!E3</f>
        <v>0</v>
      </c>
      <c r="F23" s="5">
        <f>$C$23/100*調理5!F3</f>
        <v>0</v>
      </c>
      <c r="G23" s="5">
        <f>$C$23/100*調理5!G3</f>
        <v>0</v>
      </c>
      <c r="H23" s="5">
        <f>$C$23/100*調理5!H3</f>
        <v>0</v>
      </c>
      <c r="I23" s="5">
        <f>$C$23/100*調理5!I3</f>
        <v>0</v>
      </c>
      <c r="J23" s="5">
        <f>$C$23/100*調理5!J3</f>
        <v>0</v>
      </c>
      <c r="K23" s="5">
        <f>$C$23/100*調理5!K3</f>
        <v>0</v>
      </c>
      <c r="L23" s="5">
        <f>$C$23/100*調理5!L3</f>
        <v>0</v>
      </c>
      <c r="M23" s="5"/>
    </row>
    <row r="24" spans="1:13" ht="13.5" customHeight="1">
      <c r="A24" s="174" t="s">
        <v>1161</v>
      </c>
      <c r="B24" s="96" t="str">
        <f>調理6!B3</f>
        <v>焼き肉7/23</v>
      </c>
      <c r="C24" s="4"/>
      <c r="D24" s="5">
        <f>$C$24/100*調理6!D3</f>
        <v>0</v>
      </c>
      <c r="E24" s="5">
        <f>$C$24/100*調理6!E3</f>
        <v>0</v>
      </c>
      <c r="F24" s="5">
        <f>$C$24/100*調理6!F3</f>
        <v>0</v>
      </c>
      <c r="G24" s="5">
        <f>$C$24/100*調理6!G3</f>
        <v>0</v>
      </c>
      <c r="H24" s="5">
        <f>$C$24/100*調理6!H3</f>
        <v>0</v>
      </c>
      <c r="I24" s="5">
        <f>$C$24/100*調理6!I3</f>
        <v>0</v>
      </c>
      <c r="J24" s="5">
        <f>$C$24/100*調理6!J3</f>
        <v>0</v>
      </c>
      <c r="K24" s="5">
        <f>$C$24/100*調理6!K3</f>
        <v>0</v>
      </c>
      <c r="L24" s="5">
        <f>$C$24/100*調理6!L3</f>
        <v>0</v>
      </c>
      <c r="M24" s="5"/>
    </row>
    <row r="25" spans="1:13" ht="13.5" customHeight="1">
      <c r="A25" s="174" t="s">
        <v>1162</v>
      </c>
      <c r="B25" s="96" t="str">
        <f>調理7!B3</f>
        <v>酢の物（わかめ・キュウリ）9/5</v>
      </c>
      <c r="C25" s="4"/>
      <c r="D25" s="5">
        <f>$C$25/100*調理7!D3</f>
        <v>0</v>
      </c>
      <c r="E25" s="5">
        <f>$C$25/100*調理7!E3</f>
        <v>0</v>
      </c>
      <c r="F25" s="5">
        <f>$C$25/100*調理7!F3</f>
        <v>0</v>
      </c>
      <c r="G25" s="5">
        <f>$C$25/100*調理7!G3</f>
        <v>0</v>
      </c>
      <c r="H25" s="5">
        <f>$C$25/100*調理7!H3</f>
        <v>0</v>
      </c>
      <c r="I25" s="5">
        <f>$C$25/100*調理7!I3</f>
        <v>0</v>
      </c>
      <c r="J25" s="5">
        <f>$C$25/100*調理7!J3</f>
        <v>0</v>
      </c>
      <c r="K25" s="5">
        <f>$C$25/100*調理7!K3</f>
        <v>0</v>
      </c>
      <c r="L25" s="5">
        <f>$C$25/100*調理7!L3</f>
        <v>0</v>
      </c>
      <c r="M25" s="5"/>
    </row>
    <row r="26" spans="1:13" ht="13.5" customHeight="1">
      <c r="A26" s="174" t="s">
        <v>1163</v>
      </c>
      <c r="B26" s="96" t="str">
        <f>調理8!B3</f>
        <v>ラーメン(外食・白味噌)推定9/8</v>
      </c>
      <c r="C26" s="4"/>
      <c r="D26" s="5">
        <f>$C$26/100*調理8!D3</f>
        <v>0</v>
      </c>
      <c r="E26" s="5">
        <f>$C$26/100*調理8!E3</f>
        <v>0</v>
      </c>
      <c r="F26" s="5">
        <f>$C$26/100*調理8!F3</f>
        <v>0</v>
      </c>
      <c r="G26" s="5">
        <f>$C$26/100*調理8!G3</f>
        <v>0</v>
      </c>
      <c r="H26" s="5">
        <f>$C$26/100*調理8!H3</f>
        <v>0</v>
      </c>
      <c r="I26" s="5">
        <f>$C$26/100*調理8!I3</f>
        <v>0</v>
      </c>
      <c r="J26" s="5">
        <f>$C$26/100*調理8!J3</f>
        <v>0</v>
      </c>
      <c r="K26" s="5">
        <f>$C$26/100*調理8!K3</f>
        <v>0</v>
      </c>
      <c r="L26" s="5">
        <f>$C$26/100*調理8!L3</f>
        <v>0</v>
      </c>
      <c r="M26" s="5"/>
    </row>
    <row r="27" spans="1:13" ht="13.5" customHeight="1" thickBot="1">
      <c r="A27" s="174" t="s">
        <v>1164</v>
      </c>
      <c r="B27" s="96" t="str">
        <f>調理9!B3</f>
        <v>切干大根・天ぷら・玉葱炒め9/18</v>
      </c>
      <c r="C27" s="4"/>
      <c r="D27" s="5">
        <f>$C$27/100*調理9!D3</f>
        <v>0</v>
      </c>
      <c r="E27" s="5">
        <f>$C$27/100*調理9!E3</f>
        <v>0</v>
      </c>
      <c r="F27" s="5">
        <f>$C$27/100*調理9!F3</f>
        <v>0</v>
      </c>
      <c r="G27" s="5">
        <f>$C$27/100*調理9!G3</f>
        <v>0</v>
      </c>
      <c r="H27" s="5">
        <f>$C$27/100*調理9!H3</f>
        <v>0</v>
      </c>
      <c r="I27" s="5">
        <f>$C$27/100*調理9!I3</f>
        <v>0</v>
      </c>
      <c r="J27" s="5">
        <f>$C$27/100*調理9!J3</f>
        <v>0</v>
      </c>
      <c r="K27" s="5">
        <f>$C$27/100*調理9!K3</f>
        <v>0</v>
      </c>
      <c r="L27" s="5">
        <f>$C$27/100*調理9!L3</f>
        <v>0</v>
      </c>
      <c r="M27" s="5"/>
    </row>
    <row r="28" spans="1:13" ht="13.5" customHeight="1" thickBot="1">
      <c r="A28" s="174" t="s">
        <v>1165</v>
      </c>
      <c r="B28" s="97" t="str">
        <f>調理10!B3</f>
        <v>切干大根・天ぷら・玉葱炒め9/20</v>
      </c>
      <c r="C28" s="87"/>
      <c r="D28" s="86">
        <f>$C$28/100*調理10!D3</f>
        <v>0</v>
      </c>
      <c r="E28" s="86">
        <f>$C$28/100*調理10!E3</f>
        <v>0</v>
      </c>
      <c r="F28" s="86">
        <f>$C$28/100*調理10!F3</f>
        <v>0</v>
      </c>
      <c r="G28" s="86">
        <f>$C$28/100*調理10!G3</f>
        <v>0</v>
      </c>
      <c r="H28" s="86">
        <f>$C$28/100*調理10!H3</f>
        <v>0</v>
      </c>
      <c r="I28" s="86">
        <f>$C$28/100*調理10!I3</f>
        <v>0</v>
      </c>
      <c r="J28" s="86">
        <f>$C$28/100*調理10!J3</f>
        <v>0</v>
      </c>
      <c r="K28" s="86">
        <f>$C$28/100*調理10!K3</f>
        <v>0</v>
      </c>
      <c r="L28" s="86">
        <f>$C$28/100*調理10!L3</f>
        <v>0</v>
      </c>
      <c r="M28" s="86"/>
    </row>
    <row r="29" spans="1:13" ht="13.5" customHeight="1">
      <c r="A29" s="174">
        <v>1</v>
      </c>
      <c r="B29" s="103" t="s">
        <v>253</v>
      </c>
      <c r="C29" s="4"/>
      <c r="D29" s="5">
        <f>C29/100*288</f>
        <v>0</v>
      </c>
      <c r="E29" s="11">
        <f>C29/100*14.7</f>
        <v>0</v>
      </c>
      <c r="F29" s="11">
        <f>C29/100*0.3</f>
        <v>0</v>
      </c>
      <c r="G29" s="11">
        <f>C29/100*56.5</f>
        <v>0</v>
      </c>
      <c r="H29" s="11">
        <f t="shared" ref="H29:H32" si="2">C29/100*0</f>
        <v>0</v>
      </c>
      <c r="I29" s="70"/>
      <c r="J29" s="70"/>
      <c r="K29" s="70"/>
      <c r="L29" s="70">
        <f>C29/100*0.1</f>
        <v>0</v>
      </c>
      <c r="M29" s="19" t="s">
        <v>751</v>
      </c>
    </row>
    <row r="30" spans="1:13" ht="13.5" customHeight="1">
      <c r="A30" s="174">
        <v>2</v>
      </c>
      <c r="B30" s="103" t="s">
        <v>366</v>
      </c>
      <c r="C30" s="4"/>
      <c r="D30" s="5">
        <f>C30/100*384</f>
        <v>0</v>
      </c>
      <c r="E30" s="11">
        <f>C30/100*0</f>
        <v>0</v>
      </c>
      <c r="F30" s="11">
        <f>C30/100*0</f>
        <v>0</v>
      </c>
      <c r="G30" s="11">
        <f>C30/100*99.2</f>
        <v>0</v>
      </c>
      <c r="H30" s="11">
        <f t="shared" si="2"/>
        <v>0</v>
      </c>
      <c r="I30" s="70"/>
      <c r="J30" s="70"/>
      <c r="K30" s="70">
        <f>C30/100*0</f>
        <v>0</v>
      </c>
      <c r="L30" s="70">
        <f>C30/100*0.0025421</f>
        <v>0</v>
      </c>
      <c r="M30" s="19" t="s">
        <v>750</v>
      </c>
    </row>
    <row r="31" spans="1:13" ht="13.5" customHeight="1">
      <c r="A31" s="174">
        <v>3</v>
      </c>
      <c r="B31" s="104" t="s">
        <v>883</v>
      </c>
      <c r="C31" s="4"/>
      <c r="D31" s="5">
        <f>C31/100*14/0.15</f>
        <v>0</v>
      </c>
      <c r="E31" s="11">
        <f>C31/100*1.1/0.15</f>
        <v>0</v>
      </c>
      <c r="F31" s="11">
        <f>C31/100*0/0.15</f>
        <v>0</v>
      </c>
      <c r="G31" s="11">
        <f>C31/100*2.1/0.15</f>
        <v>0</v>
      </c>
      <c r="H31" s="11">
        <f t="shared" si="2"/>
        <v>0</v>
      </c>
      <c r="I31" s="70"/>
      <c r="J31" s="70"/>
      <c r="K31" s="70"/>
      <c r="L31" s="11">
        <f>C31/100*1.9828543/0.15</f>
        <v>0</v>
      </c>
      <c r="M31" s="19" t="s">
        <v>750</v>
      </c>
    </row>
    <row r="32" spans="1:13" ht="13.5" customHeight="1">
      <c r="A32" s="174">
        <v>4</v>
      </c>
      <c r="B32" s="104" t="s">
        <v>1022</v>
      </c>
      <c r="C32" s="4"/>
      <c r="D32" s="5">
        <f>C32/100*5</f>
        <v>0</v>
      </c>
      <c r="E32" s="11">
        <f>C32/100*0</f>
        <v>0</v>
      </c>
      <c r="F32" s="11">
        <f>C32/100*0</f>
        <v>0</v>
      </c>
      <c r="G32" s="11">
        <f>C32/100*2.3</f>
        <v>0</v>
      </c>
      <c r="H32" s="11">
        <f t="shared" si="2"/>
        <v>0</v>
      </c>
      <c r="I32" s="70"/>
      <c r="J32" s="70"/>
      <c r="K32" s="70">
        <f>C32/100*2.1</f>
        <v>0</v>
      </c>
      <c r="L32" s="70">
        <f>C32/100*0</f>
        <v>0</v>
      </c>
      <c r="M32" s="3">
        <v>6</v>
      </c>
    </row>
    <row r="33" spans="1:13" ht="13.5" customHeight="1">
      <c r="A33" s="174">
        <v>5</v>
      </c>
      <c r="B33" s="81" t="s">
        <v>448</v>
      </c>
      <c r="C33" s="4"/>
      <c r="D33" s="5">
        <f>C33/100*151</f>
        <v>0</v>
      </c>
      <c r="E33" s="11">
        <f>C33/100*12.3</f>
        <v>0</v>
      </c>
      <c r="F33" s="11">
        <f>C33/100*10.3</f>
        <v>0</v>
      </c>
      <c r="G33" s="11">
        <f>C33/100*0.3</f>
        <v>0</v>
      </c>
      <c r="H33" s="11">
        <f>C33/100*420</f>
        <v>0</v>
      </c>
      <c r="I33" s="70"/>
      <c r="J33" s="70"/>
      <c r="K33" s="70"/>
      <c r="L33" s="70">
        <f>C33/100*0.4</f>
        <v>0</v>
      </c>
      <c r="M33" s="3">
        <v>3</v>
      </c>
    </row>
    <row r="34" spans="1:13" ht="13.5" customHeight="1">
      <c r="A34" s="174">
        <v>6</v>
      </c>
      <c r="B34" s="81" t="s">
        <v>491</v>
      </c>
      <c r="C34" s="4"/>
      <c r="D34" s="5">
        <f>C34/100*114</f>
        <v>0</v>
      </c>
      <c r="E34" s="11">
        <f>C34/100*24.6</f>
        <v>0</v>
      </c>
      <c r="F34" s="11">
        <f>C34/100*1.1</f>
        <v>0</v>
      </c>
      <c r="G34" s="11">
        <f t="shared" ref="G34" si="3">C34/100*0</f>
        <v>0</v>
      </c>
      <c r="H34" s="11">
        <f>C34/100*52</f>
        <v>0</v>
      </c>
      <c r="I34" s="70"/>
      <c r="J34" s="70"/>
      <c r="K34" s="70"/>
      <c r="L34" s="70">
        <f>C34/100*0.1</f>
        <v>0</v>
      </c>
      <c r="M34" s="3">
        <v>3</v>
      </c>
    </row>
    <row r="35" spans="1:13" ht="13.5" customHeight="1">
      <c r="A35" s="174">
        <v>7</v>
      </c>
      <c r="B35" s="104" t="s">
        <v>896</v>
      </c>
      <c r="C35" s="4"/>
      <c r="D35" s="5">
        <f>C35/100*137/0.9</f>
        <v>0</v>
      </c>
      <c r="E35" s="11">
        <f>C35/100*14.2/0.9</f>
        <v>0</v>
      </c>
      <c r="F35" s="11">
        <f>C35/100*8.9/0.9</f>
        <v>0</v>
      </c>
      <c r="G35" s="11">
        <f>C35/100*0.1/0.9</f>
        <v>0</v>
      </c>
      <c r="H35" s="11">
        <f>C35/100*80.1/0.9</f>
        <v>0</v>
      </c>
      <c r="I35" s="70"/>
      <c r="J35" s="70"/>
      <c r="K35" s="70"/>
      <c r="L35" s="11">
        <f>C35/100*0.6431566/0.9</f>
        <v>0</v>
      </c>
      <c r="M35" s="3">
        <v>3</v>
      </c>
    </row>
    <row r="36" spans="1:13" ht="13.5" customHeight="1">
      <c r="A36" s="174">
        <v>8</v>
      </c>
      <c r="B36" s="81" t="s">
        <v>449</v>
      </c>
      <c r="C36" s="4"/>
      <c r="D36" s="5">
        <f>C36/100*151</f>
        <v>0</v>
      </c>
      <c r="E36" s="11">
        <f>C36/100*12.9</f>
        <v>0</v>
      </c>
      <c r="F36" s="11">
        <f>C36/100*10</f>
        <v>0</v>
      </c>
      <c r="G36" s="11">
        <f>C36/100*0.3</f>
        <v>0</v>
      </c>
      <c r="H36" s="11">
        <f>C36/100*420</f>
        <v>0</v>
      </c>
      <c r="I36" s="70"/>
      <c r="J36" s="70"/>
      <c r="K36" s="70"/>
      <c r="L36" s="70">
        <f>C36/100*0.3</f>
        <v>0</v>
      </c>
      <c r="M36" s="3">
        <v>3</v>
      </c>
    </row>
    <row r="37" spans="1:13" ht="13.5" customHeight="1">
      <c r="A37" s="174">
        <v>9</v>
      </c>
      <c r="B37" s="104" t="s">
        <v>643</v>
      </c>
      <c r="C37" s="4"/>
      <c r="D37" s="5">
        <f>C37/100*108</f>
        <v>0</v>
      </c>
      <c r="E37" s="11">
        <f>C37/100*22.8</f>
        <v>0</v>
      </c>
      <c r="F37" s="11">
        <f>C37/100*1.2</f>
        <v>0</v>
      </c>
      <c r="G37" s="11">
        <f>C37/100*0.2</f>
        <v>0</v>
      </c>
      <c r="H37" s="11">
        <f>C37/100*43</f>
        <v>0</v>
      </c>
      <c r="I37" s="70"/>
      <c r="J37" s="70"/>
      <c r="K37" s="70"/>
      <c r="L37" s="70">
        <f>C37/100*0.1</f>
        <v>0</v>
      </c>
      <c r="M37" s="3">
        <v>3</v>
      </c>
    </row>
    <row r="38" spans="1:13" ht="13.5" customHeight="1">
      <c r="A38" s="174">
        <v>10</v>
      </c>
      <c r="B38" s="81" t="s">
        <v>830</v>
      </c>
      <c r="C38" s="4"/>
      <c r="D38" s="5">
        <f>C38/100*139</f>
        <v>0</v>
      </c>
      <c r="E38" s="11">
        <f>C38/100*22.51</f>
        <v>0</v>
      </c>
      <c r="F38" s="11">
        <f>C38/100*4.51</f>
        <v>0</v>
      </c>
      <c r="G38" s="11">
        <f>C38/100*0.11</f>
        <v>0</v>
      </c>
      <c r="H38" s="11">
        <f>C38/100*59</f>
        <v>0</v>
      </c>
      <c r="I38" s="70"/>
      <c r="J38" s="70"/>
      <c r="K38" s="70"/>
      <c r="L38" s="70">
        <f>C38/100*0.1449008</f>
        <v>0</v>
      </c>
      <c r="M38" s="3">
        <v>3</v>
      </c>
    </row>
    <row r="39" spans="1:13" ht="13.5" customHeight="1">
      <c r="A39" s="174">
        <v>11</v>
      </c>
      <c r="B39" s="81" t="s">
        <v>653</v>
      </c>
      <c r="C39" s="4"/>
      <c r="D39" s="5">
        <f>C39/100*261</f>
        <v>0</v>
      </c>
      <c r="E39" s="11">
        <f>C39/100*4.8</f>
        <v>0</v>
      </c>
      <c r="F39" s="11">
        <f>C39/100*0.5</f>
        <v>0</v>
      </c>
      <c r="G39" s="11">
        <f>C39/100*59.2</f>
        <v>0</v>
      </c>
      <c r="H39" s="11">
        <f t="shared" ref="H39:H40" si="4">C39/100*0</f>
        <v>0</v>
      </c>
      <c r="I39" s="70">
        <f>C39/100*0.3</f>
        <v>0</v>
      </c>
      <c r="J39" s="70">
        <f>C39/100*2.6</f>
        <v>0</v>
      </c>
      <c r="K39" s="70">
        <f>C39/100*2.9</f>
        <v>0</v>
      </c>
      <c r="L39" s="70">
        <f>C39/100*0.2</f>
        <v>0</v>
      </c>
      <c r="M39" s="19" t="s">
        <v>751</v>
      </c>
    </row>
    <row r="40" spans="1:13" ht="13.5" customHeight="1">
      <c r="A40" s="174">
        <v>12</v>
      </c>
      <c r="B40" s="81" t="s">
        <v>1109</v>
      </c>
      <c r="C40" s="4"/>
      <c r="D40" s="5">
        <f>C40/100*87</f>
        <v>0</v>
      </c>
      <c r="E40" s="11">
        <f>C40/100*8.1</f>
        <v>0</v>
      </c>
      <c r="F40" s="11">
        <f>C40/100*5.4</f>
        <v>0</v>
      </c>
      <c r="G40" s="11">
        <f>C40/100*1.6</f>
        <v>0</v>
      </c>
      <c r="H40" s="11">
        <f t="shared" si="4"/>
        <v>0</v>
      </c>
      <c r="I40" s="70"/>
      <c r="J40" s="70"/>
      <c r="K40" s="70">
        <f>C40/100*0.2</f>
        <v>0</v>
      </c>
      <c r="L40" s="11">
        <f t="shared" ref="L40" si="5">C40/100*0</f>
        <v>0</v>
      </c>
      <c r="M40" s="3">
        <v>3</v>
      </c>
    </row>
    <row r="41" spans="1:13" ht="13.5" customHeight="1">
      <c r="A41" s="174">
        <v>13</v>
      </c>
      <c r="B41" s="104" t="s">
        <v>732</v>
      </c>
      <c r="C41" s="4"/>
      <c r="D41" s="5">
        <f>C41/100*54</f>
        <v>0</v>
      </c>
      <c r="E41" s="11">
        <f>C41/100*0.2</f>
        <v>0</v>
      </c>
      <c r="F41" s="11">
        <f>C41/100*0.1</f>
        <v>0</v>
      </c>
      <c r="G41" s="11">
        <f>C41/100*14.6</f>
        <v>0</v>
      </c>
      <c r="H41" s="11">
        <f t="shared" ref="H41:H56" si="6">C41/100*0</f>
        <v>0</v>
      </c>
      <c r="I41" s="70">
        <f>C41/100*0.3</f>
        <v>0</v>
      </c>
      <c r="J41" s="70">
        <f>C41/100*1.2</f>
        <v>0</v>
      </c>
      <c r="K41" s="70">
        <f>C41/100*1.5</f>
        <v>0</v>
      </c>
      <c r="L41" s="11">
        <f t="shared" ref="L41:L48" si="7">C41/100*0</f>
        <v>0</v>
      </c>
      <c r="M41" s="3">
        <v>2</v>
      </c>
    </row>
    <row r="42" spans="1:13" ht="13.5" customHeight="1">
      <c r="A42" s="174">
        <v>14</v>
      </c>
      <c r="B42" s="81" t="s">
        <v>1086</v>
      </c>
      <c r="C42" s="4"/>
      <c r="D42" s="5">
        <f>C42/100*40</f>
        <v>0</v>
      </c>
      <c r="E42" s="11">
        <f>C42/100*0.9</f>
        <v>0</v>
      </c>
      <c r="F42" s="11">
        <f>C42/100*0.1</f>
        <v>0</v>
      </c>
      <c r="G42" s="11">
        <f>C42/100*10</f>
        <v>0</v>
      </c>
      <c r="H42" s="11">
        <f t="shared" si="6"/>
        <v>0</v>
      </c>
      <c r="I42" s="70">
        <f>C42/100*0.4</f>
        <v>0</v>
      </c>
      <c r="J42" s="70">
        <f>C42/100*0.8</f>
        <v>0</v>
      </c>
      <c r="K42" s="70">
        <f>C42/100*1.2</f>
        <v>0</v>
      </c>
      <c r="L42" s="11">
        <f t="shared" si="7"/>
        <v>0</v>
      </c>
      <c r="M42" s="3">
        <v>2</v>
      </c>
    </row>
    <row r="43" spans="1:13" ht="13.5" customHeight="1">
      <c r="A43" s="174">
        <v>15</v>
      </c>
      <c r="B43" s="104" t="s">
        <v>541</v>
      </c>
      <c r="C43" s="4"/>
      <c r="D43" s="5">
        <f>C43/100*86</f>
        <v>0</v>
      </c>
      <c r="E43" s="11">
        <f>C43/100*1.1</f>
        <v>0</v>
      </c>
      <c r="F43" s="11">
        <f>C43/100*0.2</f>
        <v>0</v>
      </c>
      <c r="G43" s="11">
        <f>C43/100*22.5</f>
        <v>0</v>
      </c>
      <c r="H43" s="11">
        <f t="shared" si="6"/>
        <v>0</v>
      </c>
      <c r="I43" s="70">
        <f>C43/100*0.1</f>
        <v>0</v>
      </c>
      <c r="J43" s="70">
        <f>C43/100*1</f>
        <v>0</v>
      </c>
      <c r="K43" s="70">
        <f>C43/100*1.1</f>
        <v>0</v>
      </c>
      <c r="L43" s="70">
        <f t="shared" si="7"/>
        <v>0</v>
      </c>
      <c r="M43" s="3">
        <v>2</v>
      </c>
    </row>
    <row r="44" spans="1:13" ht="13.5" customHeight="1">
      <c r="A44" s="174">
        <v>16</v>
      </c>
      <c r="B44" s="81" t="s">
        <v>46</v>
      </c>
      <c r="C44" s="4"/>
      <c r="D44" s="5">
        <f>C44/100*36</f>
        <v>0</v>
      </c>
      <c r="E44" s="11">
        <f>C44/100*1</f>
        <v>0</v>
      </c>
      <c r="F44" s="11">
        <f>C44/100*0.3</f>
        <v>0</v>
      </c>
      <c r="G44" s="11">
        <f>C44/100*8.5</f>
        <v>0</v>
      </c>
      <c r="H44" s="11">
        <f t="shared" si="6"/>
        <v>0</v>
      </c>
      <c r="I44" s="70">
        <f>C44/100*0.6</f>
        <v>0</v>
      </c>
      <c r="J44" s="70">
        <f>C44/100*1</f>
        <v>0</v>
      </c>
      <c r="K44" s="70">
        <f>C44/100*1.6</f>
        <v>0</v>
      </c>
      <c r="L44" s="70">
        <f t="shared" si="7"/>
        <v>0</v>
      </c>
      <c r="M44" s="3">
        <v>2</v>
      </c>
    </row>
    <row r="45" spans="1:13" ht="13.5" customHeight="1">
      <c r="A45" s="174">
        <v>17</v>
      </c>
      <c r="B45" s="104" t="s">
        <v>390</v>
      </c>
      <c r="C45" s="4"/>
      <c r="D45" s="5">
        <f>C45/100*44</f>
        <v>0</v>
      </c>
      <c r="E45" s="11">
        <f>C45/100*0.6</f>
        <v>0</v>
      </c>
      <c r="F45" s="11">
        <f>C45/100*1</f>
        <v>0</v>
      </c>
      <c r="G45" s="11">
        <f>C45/100*9.4</f>
        <v>0</v>
      </c>
      <c r="H45" s="11">
        <f t="shared" si="6"/>
        <v>0</v>
      </c>
      <c r="I45" s="70">
        <f>C45/100*0.4</f>
        <v>0</v>
      </c>
      <c r="J45" s="70">
        <f>C45/100*1.2</f>
        <v>0</v>
      </c>
      <c r="K45" s="70">
        <f>C45/100*1.6</f>
        <v>0</v>
      </c>
      <c r="L45" s="70">
        <f t="shared" si="7"/>
        <v>0</v>
      </c>
      <c r="M45" s="3">
        <v>2</v>
      </c>
    </row>
    <row r="46" spans="1:13" ht="13.5" customHeight="1">
      <c r="A46" s="174">
        <v>18</v>
      </c>
      <c r="B46" s="104" t="s">
        <v>694</v>
      </c>
      <c r="C46" s="4"/>
      <c r="D46" s="5">
        <f>C46/100*40</f>
        <v>0</v>
      </c>
      <c r="E46" s="11">
        <f>C46/100*0.6</f>
        <v>0</v>
      </c>
      <c r="F46" s="11">
        <f>C46/100*0.1</f>
        <v>0</v>
      </c>
      <c r="G46" s="11">
        <f>C46/100*10.2</f>
        <v>0</v>
      </c>
      <c r="H46" s="11">
        <f t="shared" si="6"/>
        <v>0</v>
      </c>
      <c r="I46" s="70">
        <f>C46/100*0.6</f>
        <v>0</v>
      </c>
      <c r="J46" s="70">
        <f>C46/100*0.7</f>
        <v>0</v>
      </c>
      <c r="K46" s="70">
        <f>C46/100*1.3</f>
        <v>0</v>
      </c>
      <c r="L46" s="70">
        <f t="shared" si="7"/>
        <v>0</v>
      </c>
      <c r="M46" s="3">
        <v>2</v>
      </c>
    </row>
    <row r="47" spans="1:13" ht="13.5" customHeight="1">
      <c r="A47" s="174">
        <v>19</v>
      </c>
      <c r="B47" s="103" t="s">
        <v>655</v>
      </c>
      <c r="C47" s="4"/>
      <c r="D47" s="5">
        <f>C47/100*46</f>
        <v>0</v>
      </c>
      <c r="E47" s="11">
        <f>C47/100*0.7</f>
        <v>0</v>
      </c>
      <c r="F47" s="11">
        <f>C47/100*0.1</f>
        <v>0</v>
      </c>
      <c r="G47" s="11">
        <f>C47/100*12</f>
        <v>0</v>
      </c>
      <c r="H47" s="11">
        <f t="shared" si="6"/>
        <v>0</v>
      </c>
      <c r="I47" s="70">
        <f>C47/100*0.5</f>
        <v>0</v>
      </c>
      <c r="J47" s="70">
        <f>C47/100*0.5</f>
        <v>0</v>
      </c>
      <c r="K47" s="70">
        <f>C47/100*1</f>
        <v>0</v>
      </c>
      <c r="L47" s="70">
        <f t="shared" si="7"/>
        <v>0</v>
      </c>
      <c r="M47" s="3">
        <v>2</v>
      </c>
    </row>
    <row r="48" spans="1:13" ht="13.5" customHeight="1">
      <c r="A48" s="174">
        <v>20</v>
      </c>
      <c r="B48" s="103" t="s">
        <v>486</v>
      </c>
      <c r="C48" s="4"/>
      <c r="D48" s="5">
        <f>C48/100*19</f>
        <v>0</v>
      </c>
      <c r="E48" s="11">
        <f>C48/100*0.7</f>
        <v>0</v>
      </c>
      <c r="F48" s="11">
        <f>C48/100*0.1</f>
        <v>0</v>
      </c>
      <c r="G48" s="11">
        <f>C48/100*4.7</f>
        <v>0</v>
      </c>
      <c r="H48" s="11">
        <f t="shared" si="6"/>
        <v>0</v>
      </c>
      <c r="I48" s="70">
        <f>C48/100*0.3</f>
        <v>0</v>
      </c>
      <c r="J48" s="70">
        <f>C48/100*0.7</f>
        <v>0</v>
      </c>
      <c r="K48" s="70">
        <f>C48/100*1</f>
        <v>0</v>
      </c>
      <c r="L48" s="70">
        <f t="shared" si="7"/>
        <v>0</v>
      </c>
      <c r="M48" s="3">
        <v>6</v>
      </c>
    </row>
    <row r="49" spans="1:13" ht="13.5" customHeight="1">
      <c r="A49" s="174">
        <v>21</v>
      </c>
      <c r="B49" s="103" t="s">
        <v>586</v>
      </c>
      <c r="C49" s="4"/>
      <c r="D49" s="5">
        <f>C49/100*59</f>
        <v>0</v>
      </c>
      <c r="E49" s="11">
        <f>C49/100*0.4</f>
        <v>0</v>
      </c>
      <c r="F49" s="11">
        <f>C49/100*0.1</f>
        <v>0</v>
      </c>
      <c r="G49" s="11">
        <f>C49/100*15.7</f>
        <v>0</v>
      </c>
      <c r="H49" s="11">
        <f t="shared" ref="H49:H50" si="8">C49/100*0</f>
        <v>0</v>
      </c>
      <c r="I49" s="70">
        <f>C49/100*0.2</f>
        <v>0</v>
      </c>
      <c r="J49" s="70">
        <f>C49/100*0.3</f>
        <v>0</v>
      </c>
      <c r="K49" s="70">
        <f>C49/100*0.5</f>
        <v>0</v>
      </c>
      <c r="L49" s="70">
        <f>C49/100*0</f>
        <v>0</v>
      </c>
      <c r="M49" s="3">
        <v>2</v>
      </c>
    </row>
    <row r="50" spans="1:13" ht="13.5" customHeight="1">
      <c r="A50" s="174">
        <v>22</v>
      </c>
      <c r="B50" s="104" t="s">
        <v>503</v>
      </c>
      <c r="C50" s="4"/>
      <c r="D50" s="5">
        <f>C50/100*43</f>
        <v>0</v>
      </c>
      <c r="E50" s="11">
        <f>C50/100*0.3</f>
        <v>0</v>
      </c>
      <c r="F50" s="11">
        <f>C50/100*0.1</f>
        <v>0</v>
      </c>
      <c r="G50" s="11">
        <f>C50/100*11.3</f>
        <v>0</v>
      </c>
      <c r="H50" s="11">
        <f t="shared" si="8"/>
        <v>0</v>
      </c>
      <c r="I50" s="70">
        <f>C50/100*0.7</f>
        <v>0</v>
      </c>
      <c r="J50" s="70">
        <f>C50/100*1.2</f>
        <v>0</v>
      </c>
      <c r="K50" s="70">
        <f>C50/100*1.9</f>
        <v>0</v>
      </c>
      <c r="L50" s="70">
        <f>C50/100*0</f>
        <v>0</v>
      </c>
      <c r="M50" s="3">
        <v>2</v>
      </c>
    </row>
    <row r="51" spans="1:13" ht="13.5" customHeight="1">
      <c r="A51" s="174">
        <v>23</v>
      </c>
      <c r="B51" s="81" t="s">
        <v>549</v>
      </c>
      <c r="C51" s="4"/>
      <c r="D51" s="5">
        <f>C51/100*264</f>
        <v>0</v>
      </c>
      <c r="E51" s="11">
        <f>C51/100*9.3</f>
        <v>0</v>
      </c>
      <c r="F51" s="11">
        <f>C51/100*4.4</f>
        <v>0</v>
      </c>
      <c r="G51" s="11">
        <f>C51/100*46.7</f>
        <v>0</v>
      </c>
      <c r="H51" s="11">
        <f t="shared" si="6"/>
        <v>0</v>
      </c>
      <c r="I51" s="70">
        <f>C51/100*0.4</f>
        <v>0</v>
      </c>
      <c r="J51" s="70">
        <f>C51/100*1.9</f>
        <v>0</v>
      </c>
      <c r="K51" s="70">
        <f>C51/100*2.3</f>
        <v>0</v>
      </c>
      <c r="L51" s="70">
        <f>C51/100*1.3</f>
        <v>0</v>
      </c>
      <c r="M51" s="19">
        <v>1</v>
      </c>
    </row>
    <row r="52" spans="1:13" ht="13.5" customHeight="1">
      <c r="A52" s="174">
        <v>24</v>
      </c>
      <c r="B52" s="81" t="s">
        <v>48</v>
      </c>
      <c r="C52" s="4"/>
      <c r="D52" s="5">
        <f>C52/100*280</f>
        <v>0</v>
      </c>
      <c r="E52" s="11">
        <f>C52/100*7.9</f>
        <v>0</v>
      </c>
      <c r="F52" s="11">
        <f>C52/100*5.3</f>
        <v>0</v>
      </c>
      <c r="G52" s="11">
        <f>C52/100*50.2</f>
        <v>0</v>
      </c>
      <c r="H52" s="11">
        <f t="shared" si="6"/>
        <v>0</v>
      </c>
      <c r="I52" s="70">
        <f>C52/100*0.7</f>
        <v>0</v>
      </c>
      <c r="J52" s="70">
        <f>C52/100*2</f>
        <v>0</v>
      </c>
      <c r="K52" s="70">
        <f>C52/100*2.7</f>
        <v>0</v>
      </c>
      <c r="L52" s="70">
        <f>C52/100*0.7</f>
        <v>0</v>
      </c>
      <c r="M52" s="19" t="s">
        <v>751</v>
      </c>
    </row>
    <row r="53" spans="1:13" ht="13.5" customHeight="1">
      <c r="A53" s="174">
        <v>25</v>
      </c>
      <c r="B53" s="104" t="s">
        <v>733</v>
      </c>
      <c r="C53" s="4"/>
      <c r="D53" s="5">
        <f>C53/100*441</f>
        <v>0</v>
      </c>
      <c r="E53" s="11">
        <f>C53/100*4.4</f>
        <v>0</v>
      </c>
      <c r="F53" s="11">
        <f>C53/100*13</f>
        <v>0</v>
      </c>
      <c r="G53" s="11">
        <f>C53/100*77.1</f>
        <v>0</v>
      </c>
      <c r="H53" s="11">
        <f t="shared" si="6"/>
        <v>0</v>
      </c>
      <c r="I53" s="70"/>
      <c r="J53" s="70"/>
      <c r="K53" s="70">
        <f>C53/100*1</f>
        <v>0</v>
      </c>
      <c r="L53" s="11">
        <f>C53/100*0.04</f>
        <v>0</v>
      </c>
      <c r="M53" s="19" t="s">
        <v>751</v>
      </c>
    </row>
    <row r="54" spans="1:13" ht="13.5" customHeight="1">
      <c r="A54" s="174">
        <v>26</v>
      </c>
      <c r="B54" s="103" t="s">
        <v>261</v>
      </c>
      <c r="C54" s="4"/>
      <c r="D54" s="5">
        <f>C54/100*168</f>
        <v>0</v>
      </c>
      <c r="E54" s="11">
        <f>C54/100*2.5</f>
        <v>0</v>
      </c>
      <c r="F54" s="11">
        <f>C54/100*0.3</f>
        <v>0</v>
      </c>
      <c r="G54" s="11">
        <f>C54/100*37.1</f>
        <v>0</v>
      </c>
      <c r="H54" s="11">
        <f t="shared" ref="H54" si="9">C54/100*0</f>
        <v>0</v>
      </c>
      <c r="I54" s="70">
        <f>C54/100*0</f>
        <v>0</v>
      </c>
      <c r="J54" s="70">
        <f>C54/100*0.3</f>
        <v>0</v>
      </c>
      <c r="K54" s="70">
        <f>C54/100*0.3</f>
        <v>0</v>
      </c>
      <c r="L54" s="70">
        <f t="shared" ref="L54" si="10">C54/100*0</f>
        <v>0</v>
      </c>
      <c r="M54" s="3">
        <v>1</v>
      </c>
    </row>
    <row r="55" spans="1:13" ht="13.5" customHeight="1">
      <c r="A55" s="174">
        <v>27</v>
      </c>
      <c r="B55" s="81" t="s">
        <v>1280</v>
      </c>
      <c r="C55" s="4"/>
      <c r="D55" s="5">
        <f>C55/100*24/0.21</f>
        <v>0</v>
      </c>
      <c r="E55" s="11">
        <f>C55/100*0.5/0.21</f>
        <v>0</v>
      </c>
      <c r="F55" s="11">
        <f>C55/100*0/0.21</f>
        <v>0</v>
      </c>
      <c r="G55" s="11">
        <f>C55/100*5.3/0.21</f>
        <v>0</v>
      </c>
      <c r="H55" s="11">
        <f>C55/100*0/0.21</f>
        <v>0</v>
      </c>
      <c r="I55" s="70"/>
      <c r="J55" s="70"/>
      <c r="K55" s="70"/>
      <c r="L55" s="11">
        <f>C55/100*1.5634044/0.21</f>
        <v>0</v>
      </c>
      <c r="M55" s="19" t="s">
        <v>751</v>
      </c>
    </row>
    <row r="56" spans="1:13" ht="13.5" customHeight="1">
      <c r="A56" s="174">
        <v>28</v>
      </c>
      <c r="B56" s="104" t="s">
        <v>607</v>
      </c>
      <c r="C56" s="4"/>
      <c r="D56" s="5">
        <f>C56/100*256</f>
        <v>0</v>
      </c>
      <c r="E56" s="11">
        <f>C56/100*2.6</f>
        <v>0</v>
      </c>
      <c r="F56" s="11">
        <f>C56/100*0.6</f>
        <v>0</v>
      </c>
      <c r="G56" s="11">
        <f>C56/100*67.5</f>
        <v>0</v>
      </c>
      <c r="H56" s="11">
        <f t="shared" si="6"/>
        <v>0</v>
      </c>
      <c r="I56" s="70"/>
      <c r="J56" s="70"/>
      <c r="K56" s="70">
        <f>C56/100*7</f>
        <v>0</v>
      </c>
      <c r="L56" s="11">
        <f>C56/100*0.1804905</f>
        <v>0</v>
      </c>
      <c r="M56" s="3">
        <v>1</v>
      </c>
    </row>
    <row r="57" spans="1:13" ht="13.5" customHeight="1">
      <c r="A57" s="174">
        <v>29</v>
      </c>
      <c r="B57" s="104" t="s">
        <v>56</v>
      </c>
      <c r="C57" s="4"/>
      <c r="D57" s="5">
        <f>C57/100*241</f>
        <v>0</v>
      </c>
      <c r="E57" s="11">
        <f>C57/100*30.5</f>
        <v>0</v>
      </c>
      <c r="F57" s="11">
        <f>C57/100*1.3</f>
        <v>0</v>
      </c>
      <c r="G57" s="11">
        <f>C57/100*26.7</f>
        <v>0</v>
      </c>
      <c r="H57" s="11">
        <f>C57/100*280</f>
        <v>0</v>
      </c>
      <c r="I57" s="70"/>
      <c r="J57" s="70"/>
      <c r="K57" s="70"/>
      <c r="L57" s="11">
        <f>C57/100*3.8131815</f>
        <v>0</v>
      </c>
      <c r="M57" s="3">
        <v>3</v>
      </c>
    </row>
    <row r="58" spans="1:13" ht="13.5" customHeight="1">
      <c r="A58" s="174">
        <v>30</v>
      </c>
      <c r="B58" s="104" t="s">
        <v>1249</v>
      </c>
      <c r="C58" s="4"/>
      <c r="D58" s="5">
        <f>C58/100*408</f>
        <v>0</v>
      </c>
      <c r="E58" s="11">
        <f>C58/100*4.6</f>
        <v>0</v>
      </c>
      <c r="F58" s="11">
        <f>C58/100*3.7</f>
        <v>0</v>
      </c>
      <c r="G58" s="11">
        <f>C58/100*98.375</f>
        <v>0</v>
      </c>
      <c r="H58" s="11">
        <f t="shared" ref="H58" si="11">C58/100*0</f>
        <v>0</v>
      </c>
      <c r="I58" s="70"/>
      <c r="J58" s="70"/>
      <c r="K58" s="70">
        <f>C58/100*9.3</f>
        <v>0</v>
      </c>
      <c r="L58" s="11">
        <f>C58/100*0.8</f>
        <v>0</v>
      </c>
      <c r="M58" s="3">
        <v>6</v>
      </c>
    </row>
    <row r="59" spans="1:13" ht="13.5" customHeight="1">
      <c r="A59" s="174">
        <v>31</v>
      </c>
      <c r="B59" s="104" t="s">
        <v>279</v>
      </c>
      <c r="C59" s="4"/>
      <c r="D59" s="5">
        <f>C59/100*170.5</f>
        <v>0</v>
      </c>
      <c r="E59" s="11">
        <f>C59/100*4.8</f>
        <v>0</v>
      </c>
      <c r="F59" s="11">
        <f>C59/100*1.8</f>
        <v>0</v>
      </c>
      <c r="G59" s="11">
        <f>C59/100*70.4</f>
        <v>0</v>
      </c>
      <c r="H59" s="11">
        <f t="shared" ref="H59:H63" si="12">C59/100*0</f>
        <v>0</v>
      </c>
      <c r="I59" s="70"/>
      <c r="J59" s="70"/>
      <c r="K59" s="70">
        <f>C59/100*36.8</f>
        <v>0</v>
      </c>
      <c r="L59" s="11">
        <f>C59/100*6.8637267</f>
        <v>0</v>
      </c>
      <c r="M59" s="3">
        <v>6</v>
      </c>
    </row>
    <row r="60" spans="1:13" ht="13.5" customHeight="1">
      <c r="A60" s="174">
        <v>32</v>
      </c>
      <c r="B60" s="81" t="s">
        <v>1092</v>
      </c>
      <c r="C60" s="4"/>
      <c r="D60" s="5">
        <f>C60/100*459</f>
        <v>0</v>
      </c>
      <c r="E60" s="11">
        <f>C60/100*11.1</f>
        <v>0</v>
      </c>
      <c r="F60" s="11">
        <f>C60/100*15.8</f>
        <v>0</v>
      </c>
      <c r="G60" s="11">
        <f>C60/100*68</f>
        <v>0</v>
      </c>
      <c r="H60" s="11">
        <f t="shared" si="12"/>
        <v>0</v>
      </c>
      <c r="I60" s="70"/>
      <c r="J60" s="70"/>
      <c r="K60" s="70"/>
      <c r="L60" s="11">
        <f>C60/100*0.66</f>
        <v>0</v>
      </c>
      <c r="M60" s="19" t="s">
        <v>751</v>
      </c>
    </row>
    <row r="61" spans="1:13" ht="13.5" customHeight="1">
      <c r="A61" s="174">
        <v>33</v>
      </c>
      <c r="B61" s="81" t="s">
        <v>1087</v>
      </c>
      <c r="C61" s="4"/>
      <c r="D61" s="5">
        <f>C61/100*380</f>
        <v>0</v>
      </c>
      <c r="E61" s="11">
        <f>C61/100*2.9</f>
        <v>0</v>
      </c>
      <c r="F61" s="11">
        <f>C61/100*1.7</f>
        <v>0</v>
      </c>
      <c r="G61" s="11">
        <f>C61/100*88.2</f>
        <v>0</v>
      </c>
      <c r="H61" s="11">
        <f t="shared" si="12"/>
        <v>0</v>
      </c>
      <c r="I61" s="70"/>
      <c r="J61" s="70"/>
      <c r="K61" s="70"/>
      <c r="L61" s="11">
        <f>C61/100*0.0177948</f>
        <v>0</v>
      </c>
      <c r="M61" s="19" t="s">
        <v>751</v>
      </c>
    </row>
    <row r="62" spans="1:13" ht="13.5" customHeight="1">
      <c r="A62" s="174">
        <v>34</v>
      </c>
      <c r="B62" s="104" t="s">
        <v>730</v>
      </c>
      <c r="C62" s="4"/>
      <c r="D62" s="5">
        <f>C62/100*585</f>
        <v>0</v>
      </c>
      <c r="E62" s="11">
        <f>C62/100*26.5</f>
        <v>0</v>
      </c>
      <c r="F62" s="11">
        <f>C62/100*49.4</f>
        <v>0</v>
      </c>
      <c r="G62" s="11">
        <f>C62/100*19.6</f>
        <v>0</v>
      </c>
      <c r="H62" s="11">
        <f t="shared" si="12"/>
        <v>0</v>
      </c>
      <c r="I62" s="70">
        <f>C62/100*0.3</f>
        <v>0</v>
      </c>
      <c r="J62" s="70">
        <f>C62/100*6.9</f>
        <v>0</v>
      </c>
      <c r="K62" s="70">
        <f>C62/100*7.2</f>
        <v>0</v>
      </c>
      <c r="L62" s="11">
        <f>C62/100*0.0050842</f>
        <v>0</v>
      </c>
      <c r="M62" s="3">
        <v>5</v>
      </c>
    </row>
    <row r="63" spans="1:13" ht="13.5" customHeight="1">
      <c r="A63" s="174">
        <v>35</v>
      </c>
      <c r="B63" s="104" t="s">
        <v>855</v>
      </c>
      <c r="C63" s="4"/>
      <c r="D63" s="5">
        <f>C63/100*190/0.3</f>
        <v>0</v>
      </c>
      <c r="E63" s="11">
        <f>C63/100*7.8/0.3</f>
        <v>0</v>
      </c>
      <c r="F63" s="11">
        <f>C63/100*14.7/0.3</f>
        <v>0</v>
      </c>
      <c r="G63" s="11">
        <f>C63/100*6/0.3</f>
        <v>0</v>
      </c>
      <c r="H63" s="11">
        <f t="shared" si="12"/>
        <v>0</v>
      </c>
      <c r="I63" s="70"/>
      <c r="J63" s="70"/>
      <c r="K63" s="70">
        <f>C63/100*2.1/0.3</f>
        <v>0</v>
      </c>
      <c r="L63" s="11">
        <f>C63/100*0.0040673/0.3</f>
        <v>0</v>
      </c>
      <c r="M63" s="3">
        <v>5</v>
      </c>
    </row>
    <row r="64" spans="1:13" ht="13.5" customHeight="1">
      <c r="A64" s="174">
        <v>36</v>
      </c>
      <c r="B64" s="104" t="s">
        <v>76</v>
      </c>
      <c r="C64" s="4"/>
      <c r="D64" s="5">
        <f>C64/100*435</f>
        <v>0</v>
      </c>
      <c r="E64" s="11">
        <f>C64/100*10.8</f>
        <v>0</v>
      </c>
      <c r="F64" s="11">
        <f>C64/100*10.6</f>
        <v>0</v>
      </c>
      <c r="G64" s="11">
        <f>C64/100*74.1</f>
        <v>0</v>
      </c>
      <c r="H64" s="11">
        <f t="shared" ref="H64:H72" si="13">C64/100*0</f>
        <v>0</v>
      </c>
      <c r="I64" s="70"/>
      <c r="J64" s="70"/>
      <c r="K64" s="70"/>
      <c r="L64" s="11">
        <f>C64/100*0.3558969</f>
        <v>0</v>
      </c>
      <c r="M64" s="19" t="s">
        <v>751</v>
      </c>
    </row>
    <row r="65" spans="1:13" ht="13.5" customHeight="1">
      <c r="A65" s="174">
        <v>37</v>
      </c>
      <c r="B65" s="104" t="s">
        <v>995</v>
      </c>
      <c r="C65" s="4"/>
      <c r="D65" s="5">
        <f>C65/100*290/1.4</f>
        <v>0</v>
      </c>
      <c r="E65" s="11">
        <f>C65/100*17.5/1.4</f>
        <v>0</v>
      </c>
      <c r="F65" s="11">
        <f>C65/100*8.5/1.4</f>
        <v>0</v>
      </c>
      <c r="G65" s="11">
        <f>C65/100*40.4/1.4</f>
        <v>0</v>
      </c>
      <c r="H65" s="11">
        <f t="shared" si="13"/>
        <v>0</v>
      </c>
      <c r="I65" s="70"/>
      <c r="J65" s="70"/>
      <c r="K65" s="70">
        <f>C65/100*7.1/1.4</f>
        <v>0</v>
      </c>
      <c r="L65" s="11">
        <f>C65/100*1.1693756/1.4</f>
        <v>0</v>
      </c>
      <c r="M65" s="3">
        <v>3</v>
      </c>
    </row>
    <row r="66" spans="1:13" ht="13.5" customHeight="1">
      <c r="A66" s="174">
        <v>38</v>
      </c>
      <c r="B66" s="81" t="s">
        <v>1248</v>
      </c>
      <c r="C66" s="4"/>
      <c r="D66" s="5">
        <f>C66/100*176</f>
        <v>0</v>
      </c>
      <c r="E66" s="11">
        <f>C66/100*8.5</f>
        <v>0</v>
      </c>
      <c r="F66" s="11">
        <f>C66/100*4.1</f>
        <v>0</v>
      </c>
      <c r="G66" s="11">
        <f>C66/100*31.1</f>
        <v>0</v>
      </c>
      <c r="H66" s="11">
        <f t="shared" si="13"/>
        <v>0</v>
      </c>
      <c r="I66" s="70"/>
      <c r="J66" s="70"/>
      <c r="K66" s="70">
        <f>C66/100*4.2</f>
        <v>0</v>
      </c>
      <c r="L66" s="11">
        <f>C66/100*0.7</f>
        <v>0</v>
      </c>
      <c r="M66" s="19">
        <v>1</v>
      </c>
    </row>
    <row r="67" spans="1:13" ht="13.5" customHeight="1">
      <c r="A67" s="174">
        <v>39</v>
      </c>
      <c r="B67" s="104" t="s">
        <v>1014</v>
      </c>
      <c r="C67" s="4"/>
      <c r="D67" s="5">
        <f>C67/100*205</f>
        <v>0</v>
      </c>
      <c r="E67" s="11">
        <f>C67/100*16.6</f>
        <v>0</v>
      </c>
      <c r="F67" s="11">
        <f>C67/100*9.8</f>
        <v>0</v>
      </c>
      <c r="G67" s="11">
        <f>C67/100*13.8</f>
        <v>0</v>
      </c>
      <c r="H67" s="11">
        <f t="shared" si="13"/>
        <v>0</v>
      </c>
      <c r="I67" s="70"/>
      <c r="J67" s="70"/>
      <c r="K67" s="70">
        <f>C67/100*8.8</f>
        <v>0</v>
      </c>
      <c r="L67" s="11">
        <f>C67/100*0.6</f>
        <v>0</v>
      </c>
      <c r="M67" s="3">
        <v>3</v>
      </c>
    </row>
    <row r="68" spans="1:13">
      <c r="A68" s="174">
        <v>40</v>
      </c>
      <c r="B68" s="81" t="s">
        <v>1085</v>
      </c>
      <c r="C68" s="4"/>
      <c r="D68" s="5">
        <f>C68/100*200</f>
        <v>0</v>
      </c>
      <c r="E68" s="11">
        <f>C68/100*10.4</f>
        <v>0</v>
      </c>
      <c r="F68" s="11">
        <f>C68/100*3.6</f>
        <v>0</v>
      </c>
      <c r="G68" s="11">
        <f>C68/100*36.5</f>
        <v>0</v>
      </c>
      <c r="H68" s="11">
        <f t="shared" si="13"/>
        <v>0</v>
      </c>
      <c r="I68" s="70"/>
      <c r="J68" s="70"/>
      <c r="K68" s="70">
        <f>C68/100*5.7</f>
        <v>0</v>
      </c>
      <c r="L68" s="11">
        <f>C68/100*0.6584093</f>
        <v>0</v>
      </c>
      <c r="M68" s="19" t="s">
        <v>751</v>
      </c>
    </row>
    <row r="69" spans="1:13">
      <c r="A69" s="174">
        <v>41</v>
      </c>
      <c r="B69" s="104" t="s">
        <v>630</v>
      </c>
      <c r="C69" s="4"/>
      <c r="D69" s="5">
        <f>C69/100*397</f>
        <v>0</v>
      </c>
      <c r="E69" s="11">
        <f>C69/100*3.3</f>
        <v>0</v>
      </c>
      <c r="F69" s="11">
        <f>C69/100*2.9</f>
        <v>0</v>
      </c>
      <c r="G69" s="11">
        <f>C69/100*89.3</f>
        <v>0</v>
      </c>
      <c r="H69" s="11">
        <f t="shared" si="13"/>
        <v>0</v>
      </c>
      <c r="I69" s="70"/>
      <c r="J69" s="70"/>
      <c r="K69" s="70">
        <f>C69/100*0</f>
        <v>0</v>
      </c>
      <c r="L69" s="11">
        <f>C69/100*0.8719477503</f>
        <v>0</v>
      </c>
      <c r="M69" s="19" t="s">
        <v>751</v>
      </c>
    </row>
    <row r="70" spans="1:13">
      <c r="A70" s="174">
        <v>42</v>
      </c>
      <c r="B70" s="104" t="s">
        <v>1123</v>
      </c>
      <c r="C70" s="4"/>
      <c r="D70" s="5">
        <f>C70/100*408</f>
        <v>0</v>
      </c>
      <c r="E70" s="11">
        <f>C70/100*4.6</f>
        <v>0</v>
      </c>
      <c r="F70" s="11">
        <f>C70/100*3.7</f>
        <v>0</v>
      </c>
      <c r="G70" s="11">
        <f>C70/100*89</f>
        <v>0</v>
      </c>
      <c r="H70" s="11">
        <f t="shared" si="13"/>
        <v>0</v>
      </c>
      <c r="I70" s="70"/>
      <c r="J70" s="70"/>
      <c r="K70" s="70"/>
      <c r="L70" s="11">
        <f>C70/100*0.8</f>
        <v>0</v>
      </c>
      <c r="M70" s="3">
        <v>6</v>
      </c>
    </row>
    <row r="71" spans="1:13">
      <c r="A71" s="174">
        <v>43</v>
      </c>
      <c r="B71" s="104" t="s">
        <v>955</v>
      </c>
      <c r="C71" s="4"/>
      <c r="D71" s="5">
        <f>C71/100*697</f>
        <v>0</v>
      </c>
      <c r="E71" s="11">
        <f>C71/100*12.8</f>
        <v>0</v>
      </c>
      <c r="F71" s="11">
        <f>C71/100*63.5</f>
        <v>0</v>
      </c>
      <c r="G71" s="11">
        <f>C71/100*19.2</f>
        <v>0</v>
      </c>
      <c r="H71" s="11">
        <f t="shared" si="13"/>
        <v>0</v>
      </c>
      <c r="I71" s="70"/>
      <c r="J71" s="70"/>
      <c r="K71" s="70">
        <f>C71/100*7.5</f>
        <v>0</v>
      </c>
      <c r="L71" s="11">
        <f>C71/100*0</f>
        <v>0</v>
      </c>
      <c r="M71" s="3">
        <v>5</v>
      </c>
    </row>
    <row r="72" spans="1:13">
      <c r="A72" s="174">
        <v>44</v>
      </c>
      <c r="B72" s="81" t="s">
        <v>1083</v>
      </c>
      <c r="C72" s="4"/>
      <c r="D72" s="5">
        <f>C72/100*371</f>
        <v>0</v>
      </c>
      <c r="E72" s="11">
        <f>C72/100*14.4</f>
        <v>0</v>
      </c>
      <c r="F72" s="11">
        <f>C72/100*8.2</f>
        <v>0</v>
      </c>
      <c r="G72" s="11">
        <f>C72/100*63.2</f>
        <v>0</v>
      </c>
      <c r="H72" s="11">
        <f t="shared" si="13"/>
        <v>0</v>
      </c>
      <c r="I72" s="70"/>
      <c r="J72" s="70"/>
      <c r="K72" s="70">
        <f>C72/100*6.7</f>
        <v>0</v>
      </c>
      <c r="L72" s="11">
        <f>C72/100*0</f>
        <v>0</v>
      </c>
      <c r="M72" s="19" t="s">
        <v>751</v>
      </c>
    </row>
    <row r="73" spans="1:13">
      <c r="A73" s="174">
        <v>45</v>
      </c>
      <c r="B73" s="81" t="s">
        <v>1263</v>
      </c>
      <c r="C73" s="4"/>
      <c r="D73" s="5">
        <f>C73/100*80/0.4</f>
        <v>0</v>
      </c>
      <c r="E73" s="11">
        <f>C73/100*6.6/0.4</f>
        <v>0</v>
      </c>
      <c r="F73" s="11">
        <f>C73/100*4/0.4</f>
        <v>0</v>
      </c>
      <c r="G73" s="11">
        <f>C73/100*4.9/0.4</f>
        <v>0</v>
      </c>
      <c r="H73" s="11">
        <f>C73/100*0/0.4</f>
        <v>0</v>
      </c>
      <c r="I73" s="70"/>
      <c r="J73" s="70"/>
      <c r="K73" s="70">
        <f>C73/100*2.7/0.4</f>
        <v>0</v>
      </c>
      <c r="L73" s="11">
        <f>C73/100*0/0.4</f>
        <v>0</v>
      </c>
      <c r="M73" s="19">
        <v>3</v>
      </c>
    </row>
    <row r="74" spans="1:13">
      <c r="A74" s="174">
        <v>46</v>
      </c>
      <c r="B74" s="104" t="s">
        <v>879</v>
      </c>
      <c r="C74" s="4"/>
      <c r="D74" s="5">
        <f>C74/100*99</f>
        <v>0</v>
      </c>
      <c r="E74" s="11">
        <f>C74/100*3.5</f>
        <v>0</v>
      </c>
      <c r="F74" s="11">
        <f>C74/100*1.7</f>
        <v>0</v>
      </c>
      <c r="G74" s="11">
        <f>C74/100*18.6</f>
        <v>0</v>
      </c>
      <c r="H74" s="11">
        <f t="shared" ref="H74:H75" si="14">C74/100*0</f>
        <v>0</v>
      </c>
      <c r="I74" s="70">
        <f>C74/100*0.3</f>
        <v>0</v>
      </c>
      <c r="J74" s="70">
        <f>C74/100*2.8</f>
        <v>0</v>
      </c>
      <c r="K74" s="70">
        <f>C74/100*3.1</f>
        <v>0</v>
      </c>
      <c r="L74" s="70">
        <f>C74/100*0.5392986</f>
        <v>0</v>
      </c>
      <c r="M74" s="3">
        <v>6</v>
      </c>
    </row>
    <row r="75" spans="1:13">
      <c r="A75" s="174">
        <v>47</v>
      </c>
      <c r="B75" s="81" t="s">
        <v>1076</v>
      </c>
      <c r="C75" s="4"/>
      <c r="D75" s="5">
        <f>C75/100*296</f>
        <v>0</v>
      </c>
      <c r="E75" s="11">
        <f>C75/100*6.2</f>
        <v>0</v>
      </c>
      <c r="F75" s="11">
        <f>C75/100*2</f>
        <v>0</v>
      </c>
      <c r="G75" s="11">
        <f>C75/100*63.4</f>
        <v>0</v>
      </c>
      <c r="H75" s="11">
        <f t="shared" si="14"/>
        <v>0</v>
      </c>
      <c r="I75" s="70"/>
      <c r="J75" s="70"/>
      <c r="K75" s="70">
        <f>C75/100*2.5</f>
        <v>0</v>
      </c>
      <c r="L75" s="11">
        <f>C75/100*0.063553</f>
        <v>0</v>
      </c>
      <c r="M75" s="19" t="s">
        <v>751</v>
      </c>
    </row>
    <row r="76" spans="1:13">
      <c r="A76" s="174">
        <v>48</v>
      </c>
      <c r="B76" s="81" t="s">
        <v>1277</v>
      </c>
      <c r="C76" s="4"/>
      <c r="D76" s="5">
        <f>C76/100*255/0.5</f>
        <v>0</v>
      </c>
      <c r="E76" s="11">
        <f>C76/100*2.7/0.5</f>
        <v>0</v>
      </c>
      <c r="F76" s="11">
        <f>C76/100*13/0.5</f>
        <v>0</v>
      </c>
      <c r="G76" s="11">
        <f>C76/100*31.9/0.5</f>
        <v>0</v>
      </c>
      <c r="H76" s="11">
        <f>C76/100*0/0.5</f>
        <v>0</v>
      </c>
      <c r="I76" s="70"/>
      <c r="J76" s="70"/>
      <c r="K76" s="70">
        <f>C76/100*0.2/0.5</f>
        <v>0</v>
      </c>
      <c r="L76" s="11">
        <f>C76/100*1.0346432/0.5</f>
        <v>0</v>
      </c>
      <c r="M76" s="19" t="s">
        <v>751</v>
      </c>
    </row>
    <row r="77" spans="1:13">
      <c r="A77" s="174">
        <v>49</v>
      </c>
      <c r="B77" s="81" t="s">
        <v>653</v>
      </c>
      <c r="C77" s="4"/>
      <c r="D77" s="5">
        <f>C77/100*261</f>
        <v>0</v>
      </c>
      <c r="E77" s="11">
        <f>C77/100*4.8</f>
        <v>0</v>
      </c>
      <c r="F77" s="11">
        <f>C77/100*0.5</f>
        <v>0</v>
      </c>
      <c r="G77" s="11">
        <f>C77/100*59.2</f>
        <v>0</v>
      </c>
      <c r="H77" s="11">
        <f t="shared" ref="H77" si="15">C77/100*0</f>
        <v>0</v>
      </c>
      <c r="I77" s="70">
        <f>C77/100*0.3</f>
        <v>0</v>
      </c>
      <c r="J77" s="70">
        <f>C77/100*2.6</f>
        <v>0</v>
      </c>
      <c r="K77" s="70">
        <f>C77/100*2.9</f>
        <v>0</v>
      </c>
      <c r="L77" s="70">
        <f>C77/100*0.2</f>
        <v>0</v>
      </c>
      <c r="M77" s="19" t="s">
        <v>751</v>
      </c>
    </row>
    <row r="78" spans="1:13">
      <c r="A78" s="174">
        <v>50</v>
      </c>
      <c r="B78" s="104" t="s">
        <v>1115</v>
      </c>
      <c r="C78" s="4"/>
      <c r="D78" s="5">
        <f>C78/100*39/0.36</f>
        <v>0</v>
      </c>
      <c r="E78" s="11">
        <f>C78/100*7.1/0.36</f>
        <v>0</v>
      </c>
      <c r="F78" s="11">
        <f>C78/100*1.05/0.36</f>
        <v>0</v>
      </c>
      <c r="G78" s="11">
        <f>C78/100*0/0.36</f>
        <v>0</v>
      </c>
      <c r="H78" s="11">
        <f>C78/100*14.4/0.36</f>
        <v>0</v>
      </c>
      <c r="I78" s="70"/>
      <c r="J78" s="70"/>
      <c r="K78" s="70">
        <f>C78/100*0/0.36</f>
        <v>0</v>
      </c>
      <c r="L78" s="11">
        <f>C78/100*1.3473241/0.36</f>
        <v>0</v>
      </c>
      <c r="M78" s="3">
        <v>3</v>
      </c>
    </row>
  </sheetData>
  <phoneticPr fontId="1"/>
  <conditionalFormatting sqref="E10">
    <cfRule type="cellIs" dxfId="86" priority="25" operator="between">
      <formula>0.1475</formula>
      <formula>0.1825</formula>
    </cfRule>
    <cfRule type="cellIs" dxfId="85" priority="26" operator="lessThan">
      <formula>0.13</formula>
    </cfRule>
    <cfRule type="cellIs" dxfId="84" priority="27" operator="greaterThan">
      <formula>0.2</formula>
    </cfRule>
  </conditionalFormatting>
  <conditionalFormatting sqref="F10">
    <cfRule type="cellIs" dxfId="83" priority="22" operator="between">
      <formula>0.225</formula>
      <formula>0.275</formula>
    </cfRule>
    <cfRule type="cellIs" dxfId="82" priority="23" operator="lessThan">
      <formula>0.2</formula>
    </cfRule>
    <cfRule type="cellIs" dxfId="81" priority="24" operator="greaterThan">
      <formula>0.3</formula>
    </cfRule>
  </conditionalFormatting>
  <conditionalFormatting sqref="G10">
    <cfRule type="cellIs" dxfId="80" priority="19" operator="between">
      <formula>0.5375</formula>
      <formula>0.6125</formula>
    </cfRule>
    <cfRule type="cellIs" dxfId="79" priority="20" operator="lessThan">
      <formula>0.5</formula>
    </cfRule>
    <cfRule type="cellIs" dxfId="78" priority="21" operator="greaterThan">
      <formula>0.65</formula>
    </cfRule>
  </conditionalFormatting>
  <conditionalFormatting sqref="E7">
    <cfRule type="cellIs" dxfId="77" priority="50" operator="lessThan">
      <formula>#REF!</formula>
    </cfRule>
    <cfRule type="cellIs" dxfId="76" priority="51" operator="greaterThan">
      <formula>#REF!</formula>
    </cfRule>
  </conditionalFormatting>
  <conditionalFormatting sqref="G7">
    <cfRule type="cellIs" dxfId="75" priority="55" operator="between">
      <formula>(#REF!+#REF!)/2</formula>
      <formula>(#REF!+#REF!)/2</formula>
    </cfRule>
    <cfRule type="cellIs" dxfId="74" priority="56" operator="lessThan">
      <formula>#REF!</formula>
    </cfRule>
    <cfRule type="cellIs" dxfId="73" priority="57" operator="greaterThan">
      <formula>#REF!</formula>
    </cfRule>
  </conditionalFormatting>
  <conditionalFormatting sqref="L7">
    <cfRule type="cellIs" dxfId="72" priority="62" operator="between">
      <formula>(#REF!+#REF!)/2</formula>
      <formula>(#REF!+#REF!)/2</formula>
    </cfRule>
    <cfRule type="cellIs" dxfId="71" priority="63" operator="lessThan">
      <formula>#REF!</formula>
    </cfRule>
    <cfRule type="cellIs" dxfId="70" priority="64" operator="greaterThan">
      <formula>#REF!</formula>
    </cfRule>
  </conditionalFormatting>
  <conditionalFormatting sqref="D7">
    <cfRule type="cellIs" dxfId="69" priority="65" operator="between">
      <formula>(#REF!+#REF!)/2</formula>
      <formula>(#REF!+#REF!)/2</formula>
    </cfRule>
    <cfRule type="cellIs" dxfId="68" priority="66" operator="lessThan">
      <formula>#REF!</formula>
    </cfRule>
    <cfRule type="cellIs" dxfId="67" priority="67" operator="greaterThan">
      <formula>#REF!</formula>
    </cfRule>
  </conditionalFormatting>
  <conditionalFormatting sqref="F7">
    <cfRule type="cellIs" dxfId="66" priority="68" operator="between">
      <formula>(#REF!+#REF!)/2</formula>
      <formula>(#REF!+#REF!)/2</formula>
    </cfRule>
    <cfRule type="cellIs" dxfId="65" priority="69" operator="lessThan">
      <formula>#REF!</formula>
    </cfRule>
    <cfRule type="cellIs" dxfId="64" priority="70" operator="greaterThan">
      <formula>#REF!</formula>
    </cfRule>
  </conditionalFormatting>
  <conditionalFormatting sqref="H7">
    <cfRule type="cellIs" dxfId="63" priority="71" operator="lessThan">
      <formula>(#REF!+#REF!)/2</formula>
    </cfRule>
    <cfRule type="cellIs" dxfId="62" priority="72" operator="greaterThan">
      <formula>#REF!</formula>
    </cfRule>
  </conditionalFormatting>
  <conditionalFormatting sqref="K7">
    <cfRule type="cellIs" dxfId="61" priority="73" operator="lessThan">
      <formula>#REF!</formula>
    </cfRule>
    <cfRule type="cellIs" dxfId="60" priority="74" operator="greaterThan">
      <formula>#REF!</formula>
    </cfRule>
  </conditionalFormatting>
  <conditionalFormatting sqref="D6">
    <cfRule type="cellIs" dxfId="59" priority="18" operator="greaterThan">
      <formula>$Q$4</formula>
    </cfRule>
    <cfRule type="cellIs" dxfId="58" priority="17" operator="lessThan">
      <formula>$Q$6</formula>
    </cfRule>
    <cfRule type="cellIs" dxfId="57" priority="16" operator="between">
      <formula>($Q$6+$Q$5)/2</formula>
      <formula>($Q$5+$Q$4)/2</formula>
    </cfRule>
  </conditionalFormatting>
  <conditionalFormatting sqref="E6">
    <cfRule type="cellIs" dxfId="56" priority="15" operator="greaterThan">
      <formula>$R$3</formula>
    </cfRule>
    <cfRule type="cellIs" dxfId="55" priority="14" operator="lessThan">
      <formula>$R$6</formula>
    </cfRule>
  </conditionalFormatting>
  <conditionalFormatting sqref="F6">
    <cfRule type="cellIs" dxfId="54" priority="13" operator="greaterThan">
      <formula>$S$4</formula>
    </cfRule>
    <cfRule type="cellIs" dxfId="53" priority="12" operator="lessThan">
      <formula>$S$6</formula>
    </cfRule>
    <cfRule type="cellIs" dxfId="52" priority="11" operator="between">
      <formula>($S$6+$S$5)/2</formula>
      <formula>($S$5+$S$4)/2</formula>
    </cfRule>
  </conditionalFormatting>
  <conditionalFormatting sqref="G6">
    <cfRule type="cellIs" dxfId="51" priority="10" operator="greaterThan">
      <formula>$T$4</formula>
    </cfRule>
    <cfRule type="cellIs" dxfId="50" priority="9" operator="lessThan">
      <formula>$T$6</formula>
    </cfRule>
    <cfRule type="cellIs" dxfId="49" priority="8" operator="between">
      <formula>($T$6+$T$5)/2</formula>
      <formula>($T$5+$T$4)/2</formula>
    </cfRule>
  </conditionalFormatting>
  <conditionalFormatting sqref="H6">
    <cfRule type="cellIs" dxfId="48" priority="7" operator="greaterThan">
      <formula>$U$4</formula>
    </cfRule>
    <cfRule type="cellIs" dxfId="47" priority="6" operator="lessThan">
      <formula>$U$5</formula>
    </cfRule>
  </conditionalFormatting>
  <conditionalFormatting sqref="K6">
    <cfRule type="cellIs" dxfId="46" priority="5" operator="greaterThan">
      <formula>$X$3</formula>
    </cfRule>
    <cfRule type="cellIs" dxfId="45" priority="4" operator="lessThan">
      <formula>$X$6</formula>
    </cfRule>
  </conditionalFormatting>
  <conditionalFormatting sqref="L6">
    <cfRule type="cellIs" dxfId="44" priority="3" operator="greaterThan">
      <formula>$Y$4</formula>
    </cfRule>
    <cfRule type="cellIs" dxfId="43" priority="2" operator="lessThan">
      <formula>$Y$6</formula>
    </cfRule>
    <cfRule type="cellIs" dxfId="42" priority="1" operator="between">
      <formula>($Y$6+$Y$5)/2</formula>
      <formula>($Y$5+$Y$4)/2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="160" zoomScaleNormal="160" workbookViewId="0">
      <selection sqref="A1:XFD1048576"/>
    </sheetView>
  </sheetViews>
  <sheetFormatPr defaultRowHeight="13.5"/>
  <cols>
    <col min="1" max="1" width="2" customWidth="1"/>
    <col min="2" max="2" width="14.25" bestFit="1" customWidth="1"/>
    <col min="3" max="3" width="12.25" bestFit="1" customWidth="1"/>
    <col min="4" max="4" width="8.5" bestFit="1" customWidth="1"/>
    <col min="5" max="5" width="7.125" style="126" bestFit="1" customWidth="1"/>
    <col min="6" max="6" width="6.5" style="126" bestFit="1" customWidth="1"/>
    <col min="7" max="8" width="7.5" style="126" bestFit="1" customWidth="1"/>
    <col min="9" max="9" width="5.5" style="126" bestFit="1" customWidth="1"/>
    <col min="10" max="11" width="6.5" style="126" bestFit="1" customWidth="1"/>
    <col min="12" max="12" width="5.5" style="126" bestFit="1" customWidth="1"/>
    <col min="13" max="13" width="2.5" bestFit="1" customWidth="1"/>
  </cols>
  <sheetData>
    <row r="1" spans="1:13" ht="41.25" thickBot="1">
      <c r="A1" s="72"/>
      <c r="B1" s="104" t="s">
        <v>0</v>
      </c>
      <c r="C1" s="3" t="s">
        <v>1</v>
      </c>
      <c r="D1" s="3" t="s">
        <v>756</v>
      </c>
      <c r="E1" s="96" t="s">
        <v>757</v>
      </c>
      <c r="F1" s="3" t="s">
        <v>4</v>
      </c>
      <c r="G1" s="96" t="s">
        <v>760</v>
      </c>
      <c r="H1" s="120" t="s">
        <v>1148</v>
      </c>
      <c r="I1" s="131" t="s">
        <v>6</v>
      </c>
      <c r="J1" s="131" t="s">
        <v>7</v>
      </c>
      <c r="K1" s="131" t="s">
        <v>8</v>
      </c>
      <c r="L1" s="122" t="s">
        <v>9</v>
      </c>
      <c r="M1" s="89" t="s">
        <v>746</v>
      </c>
    </row>
    <row r="2" spans="1:13">
      <c r="A2" s="72"/>
      <c r="B2" s="140" t="s">
        <v>759</v>
      </c>
      <c r="C2" s="141">
        <f>C10</f>
        <v>3526</v>
      </c>
      <c r="D2" s="138">
        <f>SUM(D12:D26)</f>
        <v>2828.45</v>
      </c>
      <c r="E2" s="138">
        <f t="shared" ref="E2:L2" si="0">SUM(E12:E26)</f>
        <v>83.62</v>
      </c>
      <c r="F2" s="138">
        <f t="shared" si="0"/>
        <v>63.771000000000001</v>
      </c>
      <c r="G2" s="138">
        <f t="shared" si="0"/>
        <v>495.25300000000004</v>
      </c>
      <c r="H2" s="138">
        <f t="shared" si="0"/>
        <v>180</v>
      </c>
      <c r="I2" s="138">
        <f t="shared" si="0"/>
        <v>9.3310000000000013</v>
      </c>
      <c r="J2" s="138">
        <f t="shared" si="0"/>
        <v>27.984000000000002</v>
      </c>
      <c r="K2" s="138">
        <f t="shared" si="0"/>
        <v>48.564999999999998</v>
      </c>
      <c r="L2" s="138">
        <f t="shared" si="0"/>
        <v>1.7111500000000002</v>
      </c>
      <c r="M2" s="138"/>
    </row>
    <row r="3" spans="1:13" ht="14.25" thickBot="1">
      <c r="A3" s="72"/>
      <c r="B3" s="142" t="str">
        <f>B10</f>
        <v>粥9/17作</v>
      </c>
      <c r="C3" s="143">
        <v>100</v>
      </c>
      <c r="D3" s="144">
        <f>$C$3/$C$2*D2</f>
        <v>80.216959727736807</v>
      </c>
      <c r="E3" s="144">
        <f t="shared" ref="E3:L3" si="1">$C$3/$C$2*E2</f>
        <v>2.3715258082813389</v>
      </c>
      <c r="F3" s="144">
        <f t="shared" si="1"/>
        <v>1.8085933068633013</v>
      </c>
      <c r="G3" s="144">
        <f t="shared" si="1"/>
        <v>14.045745887691437</v>
      </c>
      <c r="H3" s="144">
        <f t="shared" si="1"/>
        <v>5.1049347702779357</v>
      </c>
      <c r="I3" s="144">
        <f t="shared" si="1"/>
        <v>0.26463414634146348</v>
      </c>
      <c r="J3" s="144">
        <f t="shared" si="1"/>
        <v>0.79364719228587643</v>
      </c>
      <c r="K3" s="144">
        <f t="shared" si="1"/>
        <v>1.3773397617697107</v>
      </c>
      <c r="L3" s="144">
        <f t="shared" si="1"/>
        <v>4.8529495178672721E-2</v>
      </c>
      <c r="M3" s="144"/>
    </row>
    <row r="6" spans="1:13">
      <c r="C6" t="s">
        <v>1152</v>
      </c>
      <c r="D6" s="13">
        <v>1170</v>
      </c>
      <c r="E6" s="13">
        <v>143</v>
      </c>
      <c r="F6" s="13">
        <f>D6-E6</f>
        <v>1027</v>
      </c>
    </row>
    <row r="7" spans="1:13">
      <c r="C7" t="s">
        <v>1153</v>
      </c>
      <c r="D7" s="13">
        <v>1202</v>
      </c>
      <c r="E7" s="13">
        <v>143</v>
      </c>
      <c r="F7" s="43">
        <f>D7-E7</f>
        <v>1059</v>
      </c>
    </row>
    <row r="8" spans="1:13">
      <c r="C8" t="s">
        <v>1154</v>
      </c>
      <c r="D8" s="13">
        <v>1541</v>
      </c>
      <c r="E8" s="13">
        <v>101</v>
      </c>
      <c r="F8" s="13">
        <f>D8-E8</f>
        <v>1440</v>
      </c>
    </row>
    <row r="9" spans="1:13">
      <c r="B9" s="14" t="s">
        <v>844</v>
      </c>
      <c r="F9" s="126">
        <f>SUM(F6:F8)</f>
        <v>3526</v>
      </c>
    </row>
    <row r="10" spans="1:13">
      <c r="A10" s="72"/>
      <c r="B10" s="130" t="s">
        <v>1275</v>
      </c>
      <c r="C10" s="125">
        <v>3526</v>
      </c>
      <c r="D10" s="72"/>
      <c r="E10" s="127"/>
      <c r="F10" s="127"/>
      <c r="G10" s="127"/>
      <c r="H10" s="127"/>
      <c r="I10" s="127"/>
      <c r="J10" s="127"/>
      <c r="K10" s="127"/>
      <c r="L10" s="127"/>
      <c r="M10" s="72"/>
    </row>
    <row r="11" spans="1:13" ht="52.5" customHeight="1">
      <c r="A11" s="72"/>
      <c r="B11" s="104" t="s">
        <v>0</v>
      </c>
      <c r="C11" s="3" t="s">
        <v>1</v>
      </c>
      <c r="D11" s="3" t="s">
        <v>756</v>
      </c>
      <c r="E11" s="96" t="s">
        <v>757</v>
      </c>
      <c r="F11" s="3" t="s">
        <v>4</v>
      </c>
      <c r="G11" s="96" t="s">
        <v>760</v>
      </c>
      <c r="H11" s="120" t="s">
        <v>1148</v>
      </c>
      <c r="I11" s="131" t="s">
        <v>6</v>
      </c>
      <c r="J11" s="131" t="s">
        <v>7</v>
      </c>
      <c r="K11" s="131" t="s">
        <v>8</v>
      </c>
      <c r="L11" s="122" t="s">
        <v>9</v>
      </c>
      <c r="M11" s="89" t="s">
        <v>746</v>
      </c>
    </row>
    <row r="12" spans="1:13">
      <c r="A12" s="72"/>
      <c r="B12" s="81" t="s">
        <v>205</v>
      </c>
      <c r="C12" s="4">
        <v>167</v>
      </c>
      <c r="D12" s="5">
        <f>C12/100*23</f>
        <v>38.409999999999997</v>
      </c>
      <c r="E12" s="11">
        <f>C12/100*1.3</f>
        <v>2.1709999999999998</v>
      </c>
      <c r="F12" s="11">
        <f>C12/100*0.2</f>
        <v>0.33400000000000002</v>
      </c>
      <c r="G12" s="11">
        <f>C12/100*5.2</f>
        <v>8.6839999999999993</v>
      </c>
      <c r="H12" s="70">
        <f t="shared" ref="H12:H19" si="2">C12/100*0</f>
        <v>0</v>
      </c>
      <c r="I12" s="70">
        <f>C12/100*0.4</f>
        <v>0.66800000000000004</v>
      </c>
      <c r="J12" s="70">
        <f>C12/100*1.4</f>
        <v>2.3379999999999996</v>
      </c>
      <c r="K12" s="70">
        <f>C12/100*1.8</f>
        <v>3.0059999999999998</v>
      </c>
      <c r="L12" s="70">
        <f>C12/100*0</f>
        <v>0</v>
      </c>
      <c r="M12" s="3">
        <v>6</v>
      </c>
    </row>
    <row r="13" spans="1:13">
      <c r="A13" s="72"/>
      <c r="B13" s="81" t="s">
        <v>523</v>
      </c>
      <c r="C13" s="4">
        <v>155</v>
      </c>
      <c r="D13" s="5">
        <f>C13/100*37</f>
        <v>57.35</v>
      </c>
      <c r="E13" s="11">
        <f>C13/100*0.6</f>
        <v>0.92999999999999994</v>
      </c>
      <c r="F13" s="11">
        <f>C13/100*0.1</f>
        <v>0.15500000000000003</v>
      </c>
      <c r="G13" s="11">
        <f>C13/100*9.1</f>
        <v>14.105</v>
      </c>
      <c r="H13" s="70">
        <f t="shared" si="2"/>
        <v>0</v>
      </c>
      <c r="I13" s="70">
        <f>C13/100*0.7</f>
        <v>1.085</v>
      </c>
      <c r="J13" s="70">
        <f>C13/100*2</f>
        <v>3.1</v>
      </c>
      <c r="K13" s="70">
        <f>C13/100*2.7</f>
        <v>4.1850000000000005</v>
      </c>
      <c r="L13" s="70">
        <f>C13/100*0.1</f>
        <v>0.15500000000000003</v>
      </c>
      <c r="M13" s="3">
        <v>6</v>
      </c>
    </row>
    <row r="14" spans="1:13">
      <c r="A14" s="72"/>
      <c r="B14" s="103" t="s">
        <v>360</v>
      </c>
      <c r="C14" s="4">
        <v>344</v>
      </c>
      <c r="D14" s="5">
        <f>C14/100*76</f>
        <v>261.44</v>
      </c>
      <c r="E14" s="11">
        <f>C14/100*1.6</f>
        <v>5.5040000000000004</v>
      </c>
      <c r="F14" s="11">
        <f>C14/100*0.1</f>
        <v>0.34400000000000003</v>
      </c>
      <c r="G14" s="11">
        <f>C14/100*17.6</f>
        <v>60.544000000000004</v>
      </c>
      <c r="H14" s="70">
        <f t="shared" si="2"/>
        <v>0</v>
      </c>
      <c r="I14" s="70">
        <f>C14/100*0.6</f>
        <v>2.0640000000000001</v>
      </c>
      <c r="J14" s="70">
        <f>C14/100*0.7</f>
        <v>2.4079999999999999</v>
      </c>
      <c r="K14" s="70">
        <f>C14/100*1.3</f>
        <v>4.4720000000000004</v>
      </c>
      <c r="L14" s="70">
        <f>C14/100*0</f>
        <v>0</v>
      </c>
      <c r="M14" s="3">
        <v>1</v>
      </c>
    </row>
    <row r="15" spans="1:13">
      <c r="A15" s="72"/>
      <c r="B15" s="81" t="s">
        <v>170</v>
      </c>
      <c r="C15" s="4">
        <v>343</v>
      </c>
      <c r="D15" s="5">
        <f>C15/100*91</f>
        <v>312.13</v>
      </c>
      <c r="E15" s="11">
        <f>C15/100*1.9</f>
        <v>6.5170000000000003</v>
      </c>
      <c r="F15" s="11">
        <f>C15/100*0.3</f>
        <v>1.0289999999999999</v>
      </c>
      <c r="G15" s="11">
        <f>C15/100*20.5</f>
        <v>70.314999999999998</v>
      </c>
      <c r="H15" s="70">
        <f t="shared" si="2"/>
        <v>0</v>
      </c>
      <c r="I15" s="70">
        <f>C15/100*0.9</f>
        <v>3.0870000000000002</v>
      </c>
      <c r="J15" s="70">
        <f>C15/100*2.6</f>
        <v>8.918000000000001</v>
      </c>
      <c r="K15" s="70">
        <f>C15/100*3.5</f>
        <v>12.005000000000001</v>
      </c>
      <c r="L15" s="70">
        <f t="shared" ref="L15" si="3">C15/100*0</f>
        <v>0</v>
      </c>
      <c r="M15" s="3">
        <v>1</v>
      </c>
    </row>
    <row r="16" spans="1:13">
      <c r="A16" s="72"/>
      <c r="B16" s="81" t="s">
        <v>308</v>
      </c>
      <c r="C16" s="4">
        <v>324</v>
      </c>
      <c r="D16" s="5">
        <f>C16/100*132</f>
        <v>427.68</v>
      </c>
      <c r="E16" s="11">
        <f>C16/100*1.2</f>
        <v>3.8879999999999999</v>
      </c>
      <c r="F16" s="11">
        <f>C16/100*0.2</f>
        <v>0.64800000000000013</v>
      </c>
      <c r="G16" s="11">
        <f>C16/100*31.5</f>
        <v>102.06</v>
      </c>
      <c r="H16" s="70">
        <f t="shared" si="2"/>
        <v>0</v>
      </c>
      <c r="I16" s="70">
        <f>C16/100*0.5</f>
        <v>1.62</v>
      </c>
      <c r="J16" s="70">
        <f>C16/100*1.8</f>
        <v>5.8320000000000007</v>
      </c>
      <c r="K16" s="70">
        <f>C16/100*2.3</f>
        <v>7.452</v>
      </c>
      <c r="L16" s="70">
        <f>C16/100*0</f>
        <v>0</v>
      </c>
      <c r="M16" s="3">
        <v>1</v>
      </c>
    </row>
    <row r="17" spans="1:13">
      <c r="A17" s="72"/>
      <c r="B17" s="81" t="s">
        <v>265</v>
      </c>
      <c r="C17" s="4">
        <v>73</v>
      </c>
      <c r="D17" s="5">
        <f>C17/100*14</f>
        <v>10.219999999999999</v>
      </c>
      <c r="E17" s="11">
        <f>C17/100*1.5</f>
        <v>1.095</v>
      </c>
      <c r="F17" s="11">
        <f>C17/100*0.2</f>
        <v>0.14599999999999999</v>
      </c>
      <c r="G17" s="11">
        <f>C17/100*2.4</f>
        <v>1.752</v>
      </c>
      <c r="H17" s="70">
        <f t="shared" si="2"/>
        <v>0</v>
      </c>
      <c r="I17" s="70">
        <f>C17/100*0.4</f>
        <v>0.29199999999999998</v>
      </c>
      <c r="J17" s="70">
        <f>C17/100*1.5</f>
        <v>1.095</v>
      </c>
      <c r="K17" s="70">
        <f>C17/100*1.9</f>
        <v>1.387</v>
      </c>
      <c r="L17" s="70">
        <f>C17/100*0</f>
        <v>0</v>
      </c>
      <c r="M17" s="3">
        <v>6</v>
      </c>
    </row>
    <row r="18" spans="1:13">
      <c r="A18" s="72"/>
      <c r="B18" s="104" t="s">
        <v>347</v>
      </c>
      <c r="C18" s="4">
        <v>103</v>
      </c>
      <c r="D18" s="5">
        <f>C18/100*18</f>
        <v>18.54</v>
      </c>
      <c r="E18" s="11">
        <f>C18/100*3</f>
        <v>3.09</v>
      </c>
      <c r="F18" s="11">
        <f>C18/100*0.4</f>
        <v>0.41200000000000003</v>
      </c>
      <c r="G18" s="11">
        <f>C18/100*4.9</f>
        <v>5.0470000000000006</v>
      </c>
      <c r="H18" s="70">
        <f t="shared" si="2"/>
        <v>0</v>
      </c>
      <c r="I18" s="70">
        <f>C18/100*0.5</f>
        <v>0.51500000000000001</v>
      </c>
      <c r="J18" s="70">
        <f>C18/100*3</f>
        <v>3.09</v>
      </c>
      <c r="K18" s="70">
        <f>C18/100*3.5</f>
        <v>3.605</v>
      </c>
      <c r="L18" s="70">
        <f>C18/100*0</f>
        <v>0</v>
      </c>
      <c r="M18" s="3">
        <v>6</v>
      </c>
    </row>
    <row r="19" spans="1:13">
      <c r="A19" s="72"/>
      <c r="B19" s="103" t="s">
        <v>261</v>
      </c>
      <c r="C19" s="4">
        <v>401</v>
      </c>
      <c r="D19" s="5">
        <f>C19/100*168</f>
        <v>673.68</v>
      </c>
      <c r="E19" s="11">
        <f>C19/100*2.5</f>
        <v>10.024999999999999</v>
      </c>
      <c r="F19" s="11">
        <f>C19/100*0.3</f>
        <v>1.2029999999999998</v>
      </c>
      <c r="G19" s="11">
        <f>C19/100*37.1</f>
        <v>148.77099999999999</v>
      </c>
      <c r="H19" s="70">
        <f t="shared" si="2"/>
        <v>0</v>
      </c>
      <c r="I19" s="70">
        <f>C19/100*0</f>
        <v>0</v>
      </c>
      <c r="J19" s="70">
        <f>C19/100*0.3</f>
        <v>1.2029999999999998</v>
      </c>
      <c r="K19" s="70">
        <f>C19/100*0.3</f>
        <v>1.2029999999999998</v>
      </c>
      <c r="L19" s="70">
        <f>C19/100*0</f>
        <v>0</v>
      </c>
      <c r="M19" s="3">
        <v>1</v>
      </c>
    </row>
    <row r="20" spans="1:13">
      <c r="A20" s="72"/>
      <c r="B20" s="81" t="s">
        <v>213</v>
      </c>
      <c r="C20" s="4">
        <v>500</v>
      </c>
      <c r="D20" s="5">
        <f>C20/100*66.5</f>
        <v>332.5</v>
      </c>
      <c r="E20" s="11">
        <f>C20/100*3.25</f>
        <v>16.25</v>
      </c>
      <c r="F20" s="11">
        <f>C20/100*3.8</f>
        <v>19</v>
      </c>
      <c r="G20" s="11">
        <f>C20/100*4.8</f>
        <v>24</v>
      </c>
      <c r="H20" s="70">
        <f>C20/100*24/2</f>
        <v>60</v>
      </c>
      <c r="I20" s="70"/>
      <c r="J20" s="70"/>
      <c r="K20" s="70"/>
      <c r="L20" s="70">
        <f>C20/100*0.108</f>
        <v>0.54</v>
      </c>
      <c r="M20" s="3">
        <v>4</v>
      </c>
    </row>
    <row r="21" spans="1:13">
      <c r="A21" s="72"/>
      <c r="B21" s="81" t="s">
        <v>214</v>
      </c>
      <c r="C21" s="4">
        <v>1000</v>
      </c>
      <c r="D21" s="5">
        <f>C21/100*69.5</f>
        <v>695</v>
      </c>
      <c r="E21" s="11">
        <f>C21/100*3.4</f>
        <v>34</v>
      </c>
      <c r="F21" s="11">
        <f>C21/100*4.05</f>
        <v>40.5</v>
      </c>
      <c r="G21" s="11">
        <f>C21/100*4.85</f>
        <v>48.5</v>
      </c>
      <c r="H21" s="70">
        <f>C21/100*24/2</f>
        <v>120</v>
      </c>
      <c r="I21" s="70"/>
      <c r="J21" s="70"/>
      <c r="K21" s="70"/>
      <c r="L21" s="70">
        <f>C21/100*0.09914</f>
        <v>0.99140000000000006</v>
      </c>
      <c r="M21" s="3">
        <v>4</v>
      </c>
    </row>
    <row r="22" spans="1:13">
      <c r="A22" s="72"/>
      <c r="B22" s="81" t="s">
        <v>63</v>
      </c>
      <c r="C22" s="4">
        <v>15</v>
      </c>
      <c r="D22" s="5">
        <f>C22/100*0.2/0.02</f>
        <v>1.5</v>
      </c>
      <c r="E22" s="11">
        <f>C22/100*0.02/0.02</f>
        <v>0.15</v>
      </c>
      <c r="F22" s="11">
        <f>C22/100*0/0.02</f>
        <v>0</v>
      </c>
      <c r="G22" s="11">
        <f>C22/100*1.53/0.02</f>
        <v>11.475</v>
      </c>
      <c r="H22" s="70">
        <f t="shared" ref="H22" si="4">C22/100*0</f>
        <v>0</v>
      </c>
      <c r="I22" s="70"/>
      <c r="J22" s="70"/>
      <c r="K22" s="70">
        <f>C22/100*1.5/0.02</f>
        <v>11.249999999999998</v>
      </c>
      <c r="L22" s="70">
        <f>C22/100*0.0033/0.02</f>
        <v>2.4749999999999998E-2</v>
      </c>
      <c r="M22" s="3">
        <v>6</v>
      </c>
    </row>
    <row r="23" spans="1:13">
      <c r="A23" s="72"/>
      <c r="B23" s="92"/>
      <c r="C23" s="74"/>
      <c r="D23" s="75"/>
      <c r="E23" s="75"/>
      <c r="F23" s="75"/>
      <c r="G23" s="75"/>
      <c r="H23" s="73"/>
      <c r="I23" s="73"/>
      <c r="J23" s="73"/>
      <c r="K23" s="73"/>
      <c r="L23" s="73"/>
      <c r="M23" s="15"/>
    </row>
    <row r="24" spans="1:13">
      <c r="A24" s="72"/>
      <c r="B24" s="92"/>
      <c r="C24" s="74"/>
      <c r="D24" s="75"/>
      <c r="E24" s="75"/>
      <c r="F24" s="75"/>
      <c r="G24" s="75"/>
      <c r="H24" s="73"/>
      <c r="I24" s="128"/>
      <c r="J24" s="128"/>
      <c r="K24" s="128"/>
      <c r="L24" s="73"/>
      <c r="M24" s="15"/>
    </row>
    <row r="25" spans="1:13">
      <c r="A25" s="72"/>
      <c r="B25" s="92"/>
      <c r="C25" s="74"/>
      <c r="D25" s="75"/>
      <c r="E25" s="75"/>
      <c r="F25" s="75"/>
      <c r="G25" s="75"/>
      <c r="H25" s="73"/>
      <c r="I25" s="128"/>
      <c r="J25" s="128"/>
      <c r="K25" s="128"/>
      <c r="L25" s="73"/>
      <c r="M25" s="15"/>
    </row>
    <row r="26" spans="1:13" ht="14.25" thickBot="1">
      <c r="A26" s="72"/>
      <c r="B26" s="93"/>
      <c r="C26" s="134"/>
      <c r="D26" s="135"/>
      <c r="E26" s="135"/>
      <c r="F26" s="135"/>
      <c r="G26" s="135"/>
      <c r="H26" s="137"/>
      <c r="I26" s="136"/>
      <c r="J26" s="136"/>
      <c r="K26" s="136"/>
      <c r="L26" s="137"/>
      <c r="M26" s="91"/>
    </row>
    <row r="27" spans="1:13">
      <c r="A27" s="72"/>
      <c r="B27" s="140" t="s">
        <v>759</v>
      </c>
      <c r="C27" s="141">
        <f>C10</f>
        <v>3526</v>
      </c>
      <c r="D27" s="138">
        <f>SUM(D12:D26)</f>
        <v>2828.45</v>
      </c>
      <c r="E27" s="138">
        <f t="shared" ref="E27:L27" si="5">SUM(E12:E26)</f>
        <v>83.62</v>
      </c>
      <c r="F27" s="138">
        <f t="shared" si="5"/>
        <v>63.771000000000001</v>
      </c>
      <c r="G27" s="138">
        <f t="shared" si="5"/>
        <v>495.25300000000004</v>
      </c>
      <c r="H27" s="176">
        <f t="shared" si="5"/>
        <v>180</v>
      </c>
      <c r="I27" s="138">
        <f t="shared" si="5"/>
        <v>9.3310000000000013</v>
      </c>
      <c r="J27" s="138">
        <f t="shared" si="5"/>
        <v>27.984000000000002</v>
      </c>
      <c r="K27" s="138">
        <f t="shared" si="5"/>
        <v>48.564999999999998</v>
      </c>
      <c r="L27" s="138">
        <f t="shared" si="5"/>
        <v>1.7111500000000002</v>
      </c>
      <c r="M27" s="139"/>
    </row>
    <row r="28" spans="1:13" ht="14.25" thickBot="1">
      <c r="A28" s="72"/>
      <c r="B28" s="142" t="str">
        <f>B10</f>
        <v>粥9/17作</v>
      </c>
      <c r="C28" s="143">
        <v>100</v>
      </c>
      <c r="D28" s="144">
        <f>$C28/$C27*D27</f>
        <v>80.216959727736807</v>
      </c>
      <c r="E28" s="144">
        <f t="shared" ref="E28:L28" si="6">$C28/$C27*E27</f>
        <v>2.3715258082813389</v>
      </c>
      <c r="F28" s="144">
        <f t="shared" si="6"/>
        <v>1.8085933068633013</v>
      </c>
      <c r="G28" s="144">
        <f t="shared" si="6"/>
        <v>14.045745887691437</v>
      </c>
      <c r="H28" s="247">
        <f t="shared" si="6"/>
        <v>5.1049347702779357</v>
      </c>
      <c r="I28" s="144">
        <f t="shared" si="6"/>
        <v>0.26463414634146348</v>
      </c>
      <c r="J28" s="144">
        <f t="shared" si="6"/>
        <v>0.79364719228587643</v>
      </c>
      <c r="K28" s="144">
        <f t="shared" si="6"/>
        <v>1.3773397617697107</v>
      </c>
      <c r="L28" s="144">
        <f t="shared" si="6"/>
        <v>4.8529495178672721E-2</v>
      </c>
      <c r="M28" s="144"/>
    </row>
    <row r="29" spans="1:13">
      <c r="A29" s="72"/>
      <c r="B29" s="112"/>
      <c r="C29" s="78"/>
      <c r="D29" s="76"/>
      <c r="E29" s="76"/>
      <c r="F29" s="76"/>
      <c r="G29" s="76"/>
      <c r="H29" s="76"/>
      <c r="I29" s="129"/>
      <c r="J29" s="129"/>
      <c r="K29" s="129"/>
      <c r="L29" s="119"/>
      <c r="M29" s="71"/>
    </row>
    <row r="30" spans="1:13">
      <c r="A30" s="72"/>
      <c r="B30" s="77"/>
      <c r="C30" s="78"/>
      <c r="D30" s="76"/>
      <c r="E30" s="76"/>
      <c r="F30" s="76"/>
      <c r="G30" s="76"/>
      <c r="H30" s="76"/>
      <c r="I30" s="129"/>
      <c r="J30" s="129"/>
      <c r="K30" s="129"/>
      <c r="L30" s="119"/>
      <c r="M30" s="71"/>
    </row>
    <row r="31" spans="1:13">
      <c r="E31" s="14"/>
      <c r="F31" s="14"/>
      <c r="G31" s="14"/>
      <c r="H31" s="14"/>
      <c r="I31" s="14"/>
      <c r="J31" s="14"/>
      <c r="K31" s="14"/>
      <c r="L31" s="14"/>
      <c r="M31" s="88"/>
    </row>
    <row r="32" spans="1:13">
      <c r="E32" s="14"/>
      <c r="F32" s="14"/>
      <c r="G32" s="14"/>
      <c r="H32" s="14"/>
      <c r="I32" s="14"/>
      <c r="J32" s="14"/>
      <c r="K32" s="14"/>
      <c r="L32" s="14"/>
      <c r="M32" s="88"/>
    </row>
    <row r="33" spans="5:13">
      <c r="E33" s="14"/>
      <c r="F33" s="14"/>
      <c r="G33" s="14"/>
      <c r="H33" s="14"/>
      <c r="I33" s="14"/>
      <c r="J33" s="14"/>
      <c r="K33" s="14"/>
      <c r="L33" s="14"/>
      <c r="M33" s="88"/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="160" zoomScaleNormal="160" workbookViewId="0">
      <selection sqref="A1:XFD1048576"/>
    </sheetView>
  </sheetViews>
  <sheetFormatPr defaultRowHeight="13.5"/>
  <cols>
    <col min="1" max="1" width="2" customWidth="1"/>
    <col min="2" max="2" width="14.25" bestFit="1" customWidth="1"/>
    <col min="3" max="3" width="12.25" bestFit="1" customWidth="1"/>
    <col min="4" max="4" width="8.5" bestFit="1" customWidth="1"/>
    <col min="5" max="5" width="7.125" style="126" bestFit="1" customWidth="1"/>
    <col min="6" max="6" width="6.5" style="126" bestFit="1" customWidth="1"/>
    <col min="7" max="8" width="7.5" style="126" bestFit="1" customWidth="1"/>
    <col min="9" max="9" width="5.5" style="126" bestFit="1" customWidth="1"/>
    <col min="10" max="11" width="6.5" style="126" bestFit="1" customWidth="1"/>
    <col min="12" max="12" width="5.5" style="126" bestFit="1" customWidth="1"/>
    <col min="13" max="13" width="2.5" bestFit="1" customWidth="1"/>
  </cols>
  <sheetData>
    <row r="1" spans="1:13" ht="41.25" thickBot="1">
      <c r="A1" s="72"/>
      <c r="B1" s="104" t="s">
        <v>0</v>
      </c>
      <c r="C1" s="3" t="s">
        <v>1</v>
      </c>
      <c r="D1" s="3" t="s">
        <v>756</v>
      </c>
      <c r="E1" s="96" t="s">
        <v>757</v>
      </c>
      <c r="F1" s="3" t="s">
        <v>4</v>
      </c>
      <c r="G1" s="96" t="s">
        <v>760</v>
      </c>
      <c r="H1" s="120" t="s">
        <v>1148</v>
      </c>
      <c r="I1" s="131" t="s">
        <v>6</v>
      </c>
      <c r="J1" s="131" t="s">
        <v>7</v>
      </c>
      <c r="K1" s="131" t="s">
        <v>8</v>
      </c>
      <c r="L1" s="122" t="s">
        <v>9</v>
      </c>
      <c r="M1" s="89" t="s">
        <v>746</v>
      </c>
    </row>
    <row r="2" spans="1:13">
      <c r="A2" s="72"/>
      <c r="B2" s="140" t="s">
        <v>759</v>
      </c>
      <c r="C2" s="141">
        <f>C10</f>
        <v>3613</v>
      </c>
      <c r="D2" s="138">
        <f>SUM(D12:D26)</f>
        <v>2886.23</v>
      </c>
      <c r="E2" s="138">
        <f t="shared" ref="E2:L2" si="0">SUM(E12:E26)</f>
        <v>84.532999999999987</v>
      </c>
      <c r="F2" s="138">
        <f t="shared" si="0"/>
        <v>63.814999999999998</v>
      </c>
      <c r="G2" s="138">
        <f t="shared" si="0"/>
        <v>509.7650000000001</v>
      </c>
      <c r="H2" s="138">
        <f t="shared" si="0"/>
        <v>180</v>
      </c>
      <c r="I2" s="138">
        <f t="shared" si="0"/>
        <v>9.3870000000000005</v>
      </c>
      <c r="J2" s="138">
        <f t="shared" si="0"/>
        <v>27.875</v>
      </c>
      <c r="K2" s="138">
        <f t="shared" si="0"/>
        <v>49.261999999999993</v>
      </c>
      <c r="L2" s="138">
        <f t="shared" si="0"/>
        <v>1.7028000000000001</v>
      </c>
      <c r="M2" s="138"/>
    </row>
    <row r="3" spans="1:13" ht="14.25" thickBot="1">
      <c r="A3" s="72"/>
      <c r="B3" s="142" t="str">
        <f>B10</f>
        <v>粥9/12作</v>
      </c>
      <c r="C3" s="143">
        <v>100</v>
      </c>
      <c r="D3" s="144">
        <f>$C$3/$C$2*D2</f>
        <v>79.884583448657622</v>
      </c>
      <c r="E3" s="144">
        <f t="shared" ref="E3:L3" si="1">$C$3/$C$2*E2</f>
        <v>2.3396900083033487</v>
      </c>
      <c r="F3" s="144">
        <f t="shared" si="1"/>
        <v>1.7662607251591476</v>
      </c>
      <c r="G3" s="144">
        <f t="shared" si="1"/>
        <v>14.1091890395793</v>
      </c>
      <c r="H3" s="144">
        <f t="shared" si="1"/>
        <v>4.9820094104622203</v>
      </c>
      <c r="I3" s="144">
        <f t="shared" si="1"/>
        <v>0.25981179075560479</v>
      </c>
      <c r="J3" s="144">
        <f t="shared" si="1"/>
        <v>0.77151951287019105</v>
      </c>
      <c r="K3" s="144">
        <f t="shared" si="1"/>
        <v>1.363465264323277</v>
      </c>
      <c r="L3" s="144">
        <f t="shared" si="1"/>
        <v>4.7129809022972605E-2</v>
      </c>
      <c r="M3" s="144"/>
    </row>
    <row r="6" spans="1:13">
      <c r="C6" t="s">
        <v>1152</v>
      </c>
      <c r="D6" s="13">
        <v>1231</v>
      </c>
      <c r="E6" s="13">
        <v>143</v>
      </c>
      <c r="F6" s="13">
        <f>D6-E6</f>
        <v>1088</v>
      </c>
    </row>
    <row r="7" spans="1:13">
      <c r="C7" t="s">
        <v>1153</v>
      </c>
      <c r="D7" s="13">
        <v>1276</v>
      </c>
      <c r="E7" s="13">
        <v>143</v>
      </c>
      <c r="F7" s="43">
        <f>D7-E7</f>
        <v>1133</v>
      </c>
    </row>
    <row r="8" spans="1:13">
      <c r="C8" t="s">
        <v>1154</v>
      </c>
      <c r="D8" s="13">
        <v>1493</v>
      </c>
      <c r="E8" s="13">
        <v>101</v>
      </c>
      <c r="F8" s="13">
        <f>D8-E8</f>
        <v>1392</v>
      </c>
    </row>
    <row r="9" spans="1:13">
      <c r="B9" s="14" t="s">
        <v>845</v>
      </c>
      <c r="F9" s="126">
        <f>SUM(F6:F8)</f>
        <v>3613</v>
      </c>
    </row>
    <row r="10" spans="1:13">
      <c r="A10" s="72"/>
      <c r="B10" s="130" t="s">
        <v>1261</v>
      </c>
      <c r="C10" s="125">
        <v>3613</v>
      </c>
      <c r="D10" s="72"/>
      <c r="E10" s="127"/>
      <c r="F10" s="127"/>
      <c r="G10" s="127"/>
      <c r="H10" s="127"/>
      <c r="I10" s="127"/>
      <c r="J10" s="127"/>
      <c r="K10" s="127"/>
      <c r="L10" s="127"/>
      <c r="M10" s="72"/>
    </row>
    <row r="11" spans="1:13" ht="52.5" customHeight="1">
      <c r="A11" s="72"/>
      <c r="B11" s="104" t="s">
        <v>0</v>
      </c>
      <c r="C11" s="3" t="s">
        <v>1</v>
      </c>
      <c r="D11" s="3" t="s">
        <v>756</v>
      </c>
      <c r="E11" s="96" t="s">
        <v>757</v>
      </c>
      <c r="F11" s="3" t="s">
        <v>4</v>
      </c>
      <c r="G11" s="96" t="s">
        <v>760</v>
      </c>
      <c r="H11" s="120" t="s">
        <v>1148</v>
      </c>
      <c r="I11" s="131" t="s">
        <v>6</v>
      </c>
      <c r="J11" s="131" t="s">
        <v>7</v>
      </c>
      <c r="K11" s="131" t="s">
        <v>8</v>
      </c>
      <c r="L11" s="122" t="s">
        <v>9</v>
      </c>
      <c r="M11" s="89" t="s">
        <v>746</v>
      </c>
    </row>
    <row r="12" spans="1:13">
      <c r="A12" s="72"/>
      <c r="B12" s="81" t="s">
        <v>205</v>
      </c>
      <c r="C12" s="4">
        <v>184</v>
      </c>
      <c r="D12" s="5">
        <f>C12/100*23</f>
        <v>42.32</v>
      </c>
      <c r="E12" s="11">
        <f>C12/100*1.3</f>
        <v>2.3920000000000003</v>
      </c>
      <c r="F12" s="11">
        <f>C12/100*0.2</f>
        <v>0.36800000000000005</v>
      </c>
      <c r="G12" s="11">
        <f>C12/100*5.2</f>
        <v>9.5680000000000014</v>
      </c>
      <c r="H12" s="70">
        <f t="shared" ref="H12:H19" si="2">C12/100*0</f>
        <v>0</v>
      </c>
      <c r="I12" s="70">
        <f>C12/100*0.4</f>
        <v>0.7360000000000001</v>
      </c>
      <c r="J12" s="70">
        <f>C12/100*1.4</f>
        <v>2.5760000000000001</v>
      </c>
      <c r="K12" s="70">
        <f>C12/100*1.8</f>
        <v>3.3120000000000003</v>
      </c>
      <c r="L12" s="70">
        <f>C12/100*0</f>
        <v>0</v>
      </c>
      <c r="M12" s="3">
        <v>6</v>
      </c>
    </row>
    <row r="13" spans="1:13">
      <c r="A13" s="72"/>
      <c r="B13" s="81" t="s">
        <v>523</v>
      </c>
      <c r="C13" s="4">
        <v>145</v>
      </c>
      <c r="D13" s="5">
        <f>C13/100*37</f>
        <v>53.65</v>
      </c>
      <c r="E13" s="11">
        <f>C13/100*0.6</f>
        <v>0.87</v>
      </c>
      <c r="F13" s="11">
        <f>C13/100*0.1</f>
        <v>0.14499999999999999</v>
      </c>
      <c r="G13" s="11">
        <f>C13/100*9.1</f>
        <v>13.194999999999999</v>
      </c>
      <c r="H13" s="70">
        <f t="shared" si="2"/>
        <v>0</v>
      </c>
      <c r="I13" s="70">
        <f>C13/100*0.7</f>
        <v>1.0149999999999999</v>
      </c>
      <c r="J13" s="70">
        <f>C13/100*2</f>
        <v>2.9</v>
      </c>
      <c r="K13" s="70">
        <f>C13/100*2.7</f>
        <v>3.915</v>
      </c>
      <c r="L13" s="70">
        <f>C13/100*0.1</f>
        <v>0.14499999999999999</v>
      </c>
      <c r="M13" s="3">
        <v>6</v>
      </c>
    </row>
    <row r="14" spans="1:13">
      <c r="A14" s="72"/>
      <c r="B14" s="103" t="s">
        <v>360</v>
      </c>
      <c r="C14" s="4">
        <v>400</v>
      </c>
      <c r="D14" s="5">
        <f>C14/100*76</f>
        <v>304</v>
      </c>
      <c r="E14" s="11">
        <f>C14/100*1.6</f>
        <v>6.4</v>
      </c>
      <c r="F14" s="11">
        <f>C14/100*0.1</f>
        <v>0.4</v>
      </c>
      <c r="G14" s="11">
        <f>C14/100*17.6</f>
        <v>70.400000000000006</v>
      </c>
      <c r="H14" s="70">
        <f t="shared" si="2"/>
        <v>0</v>
      </c>
      <c r="I14" s="70">
        <f>C14/100*0.6</f>
        <v>2.4</v>
      </c>
      <c r="J14" s="70">
        <f>C14/100*0.7</f>
        <v>2.8</v>
      </c>
      <c r="K14" s="70">
        <f>C14/100*1.3</f>
        <v>5.2</v>
      </c>
      <c r="L14" s="70">
        <f>C14/100*0</f>
        <v>0</v>
      </c>
      <c r="M14" s="3">
        <v>1</v>
      </c>
    </row>
    <row r="15" spans="1:13">
      <c r="A15" s="72"/>
      <c r="B15" s="81" t="s">
        <v>170</v>
      </c>
      <c r="C15" s="4">
        <v>282</v>
      </c>
      <c r="D15" s="5">
        <f>C15/100*91</f>
        <v>256.62</v>
      </c>
      <c r="E15" s="11">
        <f>C15/100*1.9</f>
        <v>5.3579999999999997</v>
      </c>
      <c r="F15" s="11">
        <f>C15/100*0.3</f>
        <v>0.84599999999999997</v>
      </c>
      <c r="G15" s="11">
        <f>C15/100*20.5</f>
        <v>57.809999999999995</v>
      </c>
      <c r="H15" s="70">
        <f t="shared" si="2"/>
        <v>0</v>
      </c>
      <c r="I15" s="70">
        <f>C15/100*0.9</f>
        <v>2.5379999999999998</v>
      </c>
      <c r="J15" s="70">
        <f>C15/100*2.6</f>
        <v>7.3319999999999999</v>
      </c>
      <c r="K15" s="70">
        <f>C15/100*3.5</f>
        <v>9.8699999999999992</v>
      </c>
      <c r="L15" s="70">
        <f t="shared" ref="L15" si="3">C15/100*0</f>
        <v>0</v>
      </c>
      <c r="M15" s="3">
        <v>1</v>
      </c>
    </row>
    <row r="16" spans="1:13">
      <c r="A16" s="72"/>
      <c r="B16" s="81" t="s">
        <v>308</v>
      </c>
      <c r="C16" s="4">
        <v>364</v>
      </c>
      <c r="D16" s="5">
        <f>C16/100*132</f>
        <v>480.48</v>
      </c>
      <c r="E16" s="11">
        <f>C16/100*1.2</f>
        <v>4.3680000000000003</v>
      </c>
      <c r="F16" s="11">
        <f>C16/100*0.2</f>
        <v>0.72800000000000009</v>
      </c>
      <c r="G16" s="11">
        <f>C16/100*31.5</f>
        <v>114.66000000000001</v>
      </c>
      <c r="H16" s="70">
        <f t="shared" si="2"/>
        <v>0</v>
      </c>
      <c r="I16" s="70">
        <f>C16/100*0.5</f>
        <v>1.82</v>
      </c>
      <c r="J16" s="70">
        <f>C16/100*1.8</f>
        <v>6.5520000000000005</v>
      </c>
      <c r="K16" s="70">
        <f>C16/100*2.3</f>
        <v>8.3719999999999999</v>
      </c>
      <c r="L16" s="70">
        <f>C16/100*0</f>
        <v>0</v>
      </c>
      <c r="M16" s="3">
        <v>1</v>
      </c>
    </row>
    <row r="17" spans="1:13">
      <c r="A17" s="72"/>
      <c r="B17" s="81" t="s">
        <v>265</v>
      </c>
      <c r="C17" s="4">
        <v>87</v>
      </c>
      <c r="D17" s="5">
        <f>C17/100*14</f>
        <v>12.18</v>
      </c>
      <c r="E17" s="11">
        <f>C17/100*1.5</f>
        <v>1.3049999999999999</v>
      </c>
      <c r="F17" s="11">
        <f>C17/100*0.2</f>
        <v>0.17400000000000002</v>
      </c>
      <c r="G17" s="11">
        <f>C17/100*2.4</f>
        <v>2.0880000000000001</v>
      </c>
      <c r="H17" s="70">
        <f t="shared" si="2"/>
        <v>0</v>
      </c>
      <c r="I17" s="70">
        <f>C17/100*0.4</f>
        <v>0.34800000000000003</v>
      </c>
      <c r="J17" s="70">
        <f>C17/100*1.5</f>
        <v>1.3049999999999999</v>
      </c>
      <c r="K17" s="70">
        <f>C17/100*1.9</f>
        <v>1.653</v>
      </c>
      <c r="L17" s="70">
        <f>C17/100*0</f>
        <v>0</v>
      </c>
      <c r="M17" s="3">
        <v>6</v>
      </c>
    </row>
    <row r="18" spans="1:13">
      <c r="A18" s="72"/>
      <c r="B18" s="104" t="s">
        <v>347</v>
      </c>
      <c r="C18" s="4">
        <v>106</v>
      </c>
      <c r="D18" s="5">
        <f>C18/100*18</f>
        <v>19.080000000000002</v>
      </c>
      <c r="E18" s="11">
        <f>C18/100*3</f>
        <v>3.18</v>
      </c>
      <c r="F18" s="11">
        <f>C18/100*0.4</f>
        <v>0.42400000000000004</v>
      </c>
      <c r="G18" s="11">
        <f>C18/100*4.9</f>
        <v>5.1940000000000008</v>
      </c>
      <c r="H18" s="70">
        <f t="shared" si="2"/>
        <v>0</v>
      </c>
      <c r="I18" s="70">
        <f>C18/100*0.5</f>
        <v>0.53</v>
      </c>
      <c r="J18" s="70">
        <f>C18/100*3</f>
        <v>3.18</v>
      </c>
      <c r="K18" s="70">
        <f>C18/100*3.5</f>
        <v>3.71</v>
      </c>
      <c r="L18" s="70">
        <f>C18/100*0</f>
        <v>0</v>
      </c>
      <c r="M18" s="3">
        <v>6</v>
      </c>
    </row>
    <row r="19" spans="1:13">
      <c r="A19" s="72"/>
      <c r="B19" s="103" t="s">
        <v>261</v>
      </c>
      <c r="C19" s="4">
        <v>410</v>
      </c>
      <c r="D19" s="5">
        <f>C19/100*168</f>
        <v>688.8</v>
      </c>
      <c r="E19" s="11">
        <f>C19/100*2.5</f>
        <v>10.25</v>
      </c>
      <c r="F19" s="11">
        <f>C19/100*0.3</f>
        <v>1.2299999999999998</v>
      </c>
      <c r="G19" s="11">
        <f>C19/100*37.1</f>
        <v>152.10999999999999</v>
      </c>
      <c r="H19" s="70">
        <f t="shared" si="2"/>
        <v>0</v>
      </c>
      <c r="I19" s="70">
        <f>C19/100*0</f>
        <v>0</v>
      </c>
      <c r="J19" s="70">
        <f>C19/100*0.3</f>
        <v>1.2299999999999998</v>
      </c>
      <c r="K19" s="70">
        <f>C19/100*0.3</f>
        <v>1.2299999999999998</v>
      </c>
      <c r="L19" s="70">
        <f>C19/100*0</f>
        <v>0</v>
      </c>
      <c r="M19" s="3">
        <v>1</v>
      </c>
    </row>
    <row r="20" spans="1:13">
      <c r="A20" s="72"/>
      <c r="B20" s="81" t="s">
        <v>213</v>
      </c>
      <c r="C20" s="4">
        <v>500</v>
      </c>
      <c r="D20" s="5">
        <f>C20/100*66.5</f>
        <v>332.5</v>
      </c>
      <c r="E20" s="11">
        <f>C20/100*3.25</f>
        <v>16.25</v>
      </c>
      <c r="F20" s="11">
        <f>C20/100*3.8</f>
        <v>19</v>
      </c>
      <c r="G20" s="11">
        <f>C20/100*4.8</f>
        <v>24</v>
      </c>
      <c r="H20" s="70">
        <f>C20/100*24/2</f>
        <v>60</v>
      </c>
      <c r="I20" s="70"/>
      <c r="J20" s="70"/>
      <c r="K20" s="70"/>
      <c r="L20" s="70">
        <f>C20/100*0.108</f>
        <v>0.54</v>
      </c>
      <c r="M20" s="3">
        <v>4</v>
      </c>
    </row>
    <row r="21" spans="1:13">
      <c r="A21" s="72"/>
      <c r="B21" s="81" t="s">
        <v>214</v>
      </c>
      <c r="C21" s="4">
        <v>1000</v>
      </c>
      <c r="D21" s="5">
        <f>C21/100*69.5</f>
        <v>695</v>
      </c>
      <c r="E21" s="11">
        <f>C21/100*3.4</f>
        <v>34</v>
      </c>
      <c r="F21" s="11">
        <f>C21/100*4.05</f>
        <v>40.5</v>
      </c>
      <c r="G21" s="11">
        <f>C21/100*4.85</f>
        <v>48.5</v>
      </c>
      <c r="H21" s="70">
        <f>C21/100*24/2</f>
        <v>120</v>
      </c>
      <c r="I21" s="70"/>
      <c r="J21" s="70"/>
      <c r="K21" s="70"/>
      <c r="L21" s="70">
        <f>C21/100*0.09914</f>
        <v>0.99140000000000006</v>
      </c>
      <c r="M21" s="3">
        <v>4</v>
      </c>
    </row>
    <row r="22" spans="1:13">
      <c r="A22" s="72"/>
      <c r="B22" s="81" t="s">
        <v>63</v>
      </c>
      <c r="C22" s="4">
        <v>16</v>
      </c>
      <c r="D22" s="5">
        <f>C22/100*0.2/0.02</f>
        <v>1.6</v>
      </c>
      <c r="E22" s="11">
        <f>C22/100*0.02/0.02</f>
        <v>0.16</v>
      </c>
      <c r="F22" s="11">
        <f>C22/100*0/0.02</f>
        <v>0</v>
      </c>
      <c r="G22" s="11">
        <f>C22/100*1.53/0.02</f>
        <v>12.24</v>
      </c>
      <c r="H22" s="70">
        <f t="shared" ref="H22" si="4">C22/100*0</f>
        <v>0</v>
      </c>
      <c r="I22" s="70"/>
      <c r="J22" s="70"/>
      <c r="K22" s="70">
        <f>C22/100*1.5/0.02</f>
        <v>12</v>
      </c>
      <c r="L22" s="70">
        <f>C22/100*0.0033/0.02</f>
        <v>2.64E-2</v>
      </c>
      <c r="M22" s="3">
        <v>6</v>
      </c>
    </row>
    <row r="23" spans="1:13">
      <c r="A23" s="72"/>
      <c r="B23" s="92"/>
      <c r="C23" s="74"/>
      <c r="D23" s="75"/>
      <c r="E23" s="75"/>
      <c r="F23" s="75"/>
      <c r="G23" s="75"/>
      <c r="H23" s="73"/>
      <c r="I23" s="73"/>
      <c r="J23" s="73"/>
      <c r="K23" s="73"/>
      <c r="L23" s="73"/>
      <c r="M23" s="15"/>
    </row>
    <row r="24" spans="1:13">
      <c r="A24" s="72"/>
      <c r="B24" s="92"/>
      <c r="C24" s="74"/>
      <c r="D24" s="75"/>
      <c r="E24" s="75"/>
      <c r="F24" s="75"/>
      <c r="G24" s="75"/>
      <c r="H24" s="73"/>
      <c r="I24" s="128"/>
      <c r="J24" s="128"/>
      <c r="K24" s="128"/>
      <c r="L24" s="73"/>
      <c r="M24" s="15"/>
    </row>
    <row r="25" spans="1:13">
      <c r="A25" s="72"/>
      <c r="B25" s="92"/>
      <c r="C25" s="74"/>
      <c r="D25" s="75"/>
      <c r="E25" s="75"/>
      <c r="F25" s="75"/>
      <c r="G25" s="75"/>
      <c r="H25" s="73"/>
      <c r="I25" s="128"/>
      <c r="J25" s="128"/>
      <c r="K25" s="128"/>
      <c r="L25" s="73"/>
      <c r="M25" s="15"/>
    </row>
    <row r="26" spans="1:13" ht="14.25" thickBot="1">
      <c r="A26" s="72"/>
      <c r="B26" s="93"/>
      <c r="C26" s="134"/>
      <c r="D26" s="135"/>
      <c r="E26" s="135"/>
      <c r="F26" s="135"/>
      <c r="G26" s="135"/>
      <c r="H26" s="137"/>
      <c r="I26" s="136"/>
      <c r="J26" s="136"/>
      <c r="K26" s="136"/>
      <c r="L26" s="137"/>
      <c r="M26" s="91"/>
    </row>
    <row r="27" spans="1:13">
      <c r="A27" s="72"/>
      <c r="B27" s="140" t="s">
        <v>759</v>
      </c>
      <c r="C27" s="141">
        <f>C10</f>
        <v>3613</v>
      </c>
      <c r="D27" s="138">
        <f>SUM(D12:D26)</f>
        <v>2886.23</v>
      </c>
      <c r="E27" s="138">
        <f t="shared" ref="E27:L27" si="5">SUM(E12:E26)</f>
        <v>84.532999999999987</v>
      </c>
      <c r="F27" s="138">
        <f t="shared" si="5"/>
        <v>63.814999999999998</v>
      </c>
      <c r="G27" s="138">
        <f t="shared" si="5"/>
        <v>509.7650000000001</v>
      </c>
      <c r="H27" s="176">
        <f t="shared" si="5"/>
        <v>180</v>
      </c>
      <c r="I27" s="138">
        <f t="shared" si="5"/>
        <v>9.3870000000000005</v>
      </c>
      <c r="J27" s="138">
        <f t="shared" si="5"/>
        <v>27.875</v>
      </c>
      <c r="K27" s="138">
        <f t="shared" si="5"/>
        <v>49.261999999999993</v>
      </c>
      <c r="L27" s="138">
        <f t="shared" si="5"/>
        <v>1.7028000000000001</v>
      </c>
      <c r="M27" s="139"/>
    </row>
    <row r="28" spans="1:13" ht="14.25" thickBot="1">
      <c r="A28" s="72"/>
      <c r="B28" s="142" t="str">
        <f>B10</f>
        <v>粥9/12作</v>
      </c>
      <c r="C28" s="143">
        <v>100</v>
      </c>
      <c r="D28" s="144">
        <f>$C28/$C27*D27</f>
        <v>79.884583448657622</v>
      </c>
      <c r="E28" s="144">
        <f t="shared" ref="E28:L28" si="6">$C28/$C27*E27</f>
        <v>2.3396900083033487</v>
      </c>
      <c r="F28" s="144">
        <f t="shared" si="6"/>
        <v>1.7662607251591476</v>
      </c>
      <c r="G28" s="144">
        <f t="shared" si="6"/>
        <v>14.1091890395793</v>
      </c>
      <c r="H28" s="247">
        <f t="shared" si="6"/>
        <v>4.9820094104622203</v>
      </c>
      <c r="I28" s="144">
        <f t="shared" si="6"/>
        <v>0.25981179075560479</v>
      </c>
      <c r="J28" s="144">
        <f t="shared" si="6"/>
        <v>0.77151951287019105</v>
      </c>
      <c r="K28" s="144">
        <f t="shared" si="6"/>
        <v>1.363465264323277</v>
      </c>
      <c r="L28" s="144">
        <f t="shared" si="6"/>
        <v>4.7129809022972605E-2</v>
      </c>
      <c r="M28" s="144"/>
    </row>
    <row r="29" spans="1:13">
      <c r="A29" s="72"/>
      <c r="B29" s="112"/>
      <c r="C29" s="78"/>
      <c r="D29" s="76"/>
      <c r="E29" s="76"/>
      <c r="F29" s="76"/>
      <c r="G29" s="76"/>
      <c r="H29" s="76"/>
      <c r="I29" s="129"/>
      <c r="J29" s="129"/>
      <c r="K29" s="129"/>
      <c r="L29" s="119"/>
      <c r="M29" s="71"/>
    </row>
    <row r="30" spans="1:13">
      <c r="A30" s="72"/>
      <c r="B30" s="77"/>
      <c r="C30" s="78"/>
      <c r="D30" s="76"/>
      <c r="E30" s="76"/>
      <c r="F30" s="76"/>
      <c r="G30" s="76"/>
      <c r="H30" s="76"/>
      <c r="I30" s="129"/>
      <c r="J30" s="129"/>
      <c r="K30" s="129"/>
      <c r="L30" s="119"/>
      <c r="M30" s="71"/>
    </row>
    <row r="31" spans="1:13">
      <c r="E31" s="14"/>
      <c r="F31" s="14"/>
      <c r="G31" s="14"/>
      <c r="H31" s="14"/>
      <c r="I31" s="14"/>
      <c r="J31" s="14"/>
      <c r="K31" s="14"/>
      <c r="L31" s="14"/>
      <c r="M31" s="88"/>
    </row>
    <row r="32" spans="1:13">
      <c r="E32" s="14"/>
      <c r="F32" s="14"/>
      <c r="G32" s="14"/>
      <c r="H32" s="14"/>
      <c r="I32" s="14"/>
      <c r="J32" s="14"/>
      <c r="K32" s="14"/>
      <c r="L32" s="14"/>
      <c r="M32" s="88"/>
    </row>
    <row r="33" spans="5:13">
      <c r="E33" s="14"/>
      <c r="F33" s="14"/>
      <c r="G33" s="14"/>
      <c r="H33" s="14"/>
      <c r="I33" s="14"/>
      <c r="J33" s="14"/>
      <c r="K33" s="14"/>
      <c r="L33" s="14"/>
      <c r="M33" s="88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1"/>
  <sheetViews>
    <sheetView zoomScale="160" zoomScaleNormal="160" workbookViewId="0">
      <selection sqref="A1:XFD1048576"/>
    </sheetView>
  </sheetViews>
  <sheetFormatPr defaultRowHeight="13.5"/>
  <cols>
    <col min="1" max="1" width="2" customWidth="1"/>
    <col min="2" max="2" width="19.875" bestFit="1" customWidth="1"/>
    <col min="3" max="3" width="12.25" bestFit="1" customWidth="1"/>
    <col min="4" max="4" width="7.5" bestFit="1" customWidth="1"/>
    <col min="5" max="5" width="7.125" style="126" bestFit="1" customWidth="1"/>
    <col min="6" max="6" width="6.375" style="126" bestFit="1" customWidth="1"/>
    <col min="7" max="7" width="7.125" style="126" bestFit="1" customWidth="1"/>
    <col min="8" max="8" width="6.5" style="126" bestFit="1" customWidth="1"/>
    <col min="9" max="9" width="5.5" style="126" bestFit="1" customWidth="1"/>
    <col min="10" max="10" width="5.5" style="126" customWidth="1"/>
    <col min="11" max="12" width="5.5" style="126" bestFit="1" customWidth="1"/>
    <col min="13" max="13" width="7.125" bestFit="1" customWidth="1"/>
  </cols>
  <sheetData>
    <row r="1" spans="1:13" ht="41.25" thickBot="1">
      <c r="A1" s="72"/>
      <c r="B1" s="104" t="s">
        <v>0</v>
      </c>
      <c r="C1" s="3" t="s">
        <v>1</v>
      </c>
      <c r="D1" s="3" t="s">
        <v>756</v>
      </c>
      <c r="E1" s="96" t="s">
        <v>757</v>
      </c>
      <c r="F1" s="3" t="s">
        <v>4</v>
      </c>
      <c r="G1" s="96" t="s">
        <v>760</v>
      </c>
      <c r="H1" s="120" t="s">
        <v>1148</v>
      </c>
      <c r="I1" s="131" t="s">
        <v>6</v>
      </c>
      <c r="J1" s="131" t="s">
        <v>7</v>
      </c>
      <c r="K1" s="131" t="s">
        <v>8</v>
      </c>
      <c r="L1" s="122" t="s">
        <v>9</v>
      </c>
      <c r="M1" s="89" t="s">
        <v>746</v>
      </c>
    </row>
    <row r="2" spans="1:13">
      <c r="A2" s="72"/>
      <c r="B2" s="140" t="s">
        <v>759</v>
      </c>
      <c r="C2" s="141">
        <f>C10</f>
        <v>890</v>
      </c>
      <c r="D2" s="138">
        <f>SUM(D12:D44)</f>
        <v>165.49</v>
      </c>
      <c r="E2" s="138">
        <f t="shared" ref="E2:L2" si="0">SUM(E12:E44)</f>
        <v>9.8869999999999987</v>
      </c>
      <c r="F2" s="138">
        <f t="shared" si="0"/>
        <v>5.1139999999999999</v>
      </c>
      <c r="G2" s="138">
        <f t="shared" si="0"/>
        <v>22.060999999999996</v>
      </c>
      <c r="H2" s="138">
        <f t="shared" si="0"/>
        <v>4.8849999999999998</v>
      </c>
      <c r="I2" s="138">
        <f t="shared" si="0"/>
        <v>0.28999999999999998</v>
      </c>
      <c r="J2" s="138">
        <f t="shared" si="0"/>
        <v>0.57499999999999996</v>
      </c>
      <c r="K2" s="138">
        <f t="shared" si="0"/>
        <v>0.97499999999999998</v>
      </c>
      <c r="L2" s="138">
        <f t="shared" si="0"/>
        <v>4.1071202479999993</v>
      </c>
      <c r="M2" s="138"/>
    </row>
    <row r="3" spans="1:13" ht="14.25" thickBot="1">
      <c r="A3" s="72"/>
      <c r="B3" s="142" t="str">
        <f>B10</f>
        <v>味噌汁・9/21作</v>
      </c>
      <c r="C3" s="143">
        <v>100</v>
      </c>
      <c r="D3" s="144">
        <f>$C$3/$C$2*D2</f>
        <v>18.594382022471912</v>
      </c>
      <c r="E3" s="144">
        <f t="shared" ref="E3:L3" si="1">$C$3/$C$2*E2</f>
        <v>1.1108988764044943</v>
      </c>
      <c r="F3" s="144">
        <f t="shared" si="1"/>
        <v>0.57460674157303371</v>
      </c>
      <c r="G3" s="144">
        <f t="shared" si="1"/>
        <v>2.4787640449438197</v>
      </c>
      <c r="H3" s="144">
        <f t="shared" si="1"/>
        <v>0.54887640449438202</v>
      </c>
      <c r="I3" s="144">
        <f t="shared" si="1"/>
        <v>3.2584269662921342E-2</v>
      </c>
      <c r="J3" s="144">
        <f t="shared" si="1"/>
        <v>6.4606741573033699E-2</v>
      </c>
      <c r="K3" s="144">
        <f t="shared" si="1"/>
        <v>0.1095505617977528</v>
      </c>
      <c r="L3" s="144">
        <f t="shared" si="1"/>
        <v>0.46147418516853922</v>
      </c>
      <c r="M3" s="144"/>
    </row>
    <row r="6" spans="1:13">
      <c r="C6" t="s">
        <v>1152</v>
      </c>
      <c r="D6" s="13">
        <v>0</v>
      </c>
      <c r="E6" s="13">
        <v>0</v>
      </c>
      <c r="F6" s="13">
        <f>D6-E6</f>
        <v>0</v>
      </c>
    </row>
    <row r="7" spans="1:13">
      <c r="C7" t="s">
        <v>1153</v>
      </c>
      <c r="D7" s="13">
        <v>0</v>
      </c>
      <c r="E7" s="13">
        <v>0</v>
      </c>
      <c r="F7" s="43">
        <f>D7-E7</f>
        <v>0</v>
      </c>
    </row>
    <row r="8" spans="1:13">
      <c r="C8" t="s">
        <v>1154</v>
      </c>
      <c r="D8" s="13">
        <v>0</v>
      </c>
      <c r="E8" s="13">
        <v>0</v>
      </c>
      <c r="F8" s="13">
        <f>D8-E8</f>
        <v>0</v>
      </c>
    </row>
    <row r="9" spans="1:13">
      <c r="B9" s="14" t="s">
        <v>846</v>
      </c>
    </row>
    <row r="10" spans="1:13">
      <c r="A10" s="72"/>
      <c r="B10" s="130" t="s">
        <v>1285</v>
      </c>
      <c r="C10" s="125">
        <v>890</v>
      </c>
      <c r="D10" s="72"/>
      <c r="E10" s="127"/>
      <c r="F10" s="127"/>
      <c r="G10" s="127"/>
      <c r="H10" s="127"/>
      <c r="I10" s="127"/>
      <c r="J10" s="127"/>
      <c r="K10" s="127"/>
      <c r="L10" s="127"/>
      <c r="M10" s="72"/>
    </row>
    <row r="11" spans="1:13" ht="52.5" customHeight="1">
      <c r="A11" s="72"/>
      <c r="B11" s="104" t="s">
        <v>0</v>
      </c>
      <c r="C11" s="3" t="s">
        <v>1</v>
      </c>
      <c r="D11" s="3" t="s">
        <v>756</v>
      </c>
      <c r="E11" s="96" t="s">
        <v>757</v>
      </c>
      <c r="F11" s="3" t="s">
        <v>4</v>
      </c>
      <c r="G11" s="96" t="s">
        <v>760</v>
      </c>
      <c r="H11" s="120" t="s">
        <v>1148</v>
      </c>
      <c r="I11" s="131" t="s">
        <v>6</v>
      </c>
      <c r="J11" s="131" t="s">
        <v>7</v>
      </c>
      <c r="K11" s="131" t="s">
        <v>8</v>
      </c>
      <c r="L11" s="122" t="s">
        <v>9</v>
      </c>
      <c r="M11" s="89" t="s">
        <v>746</v>
      </c>
    </row>
    <row r="12" spans="1:13">
      <c r="A12" s="72"/>
      <c r="B12" s="104" t="s">
        <v>333</v>
      </c>
      <c r="C12" s="4"/>
      <c r="D12" s="5">
        <f>C12/100*36</f>
        <v>0</v>
      </c>
      <c r="E12" s="11">
        <f>C12/100*3.1</f>
        <v>0</v>
      </c>
      <c r="F12" s="11">
        <f>C12/100*0.2</f>
        <v>0</v>
      </c>
      <c r="G12" s="11">
        <f>C12/100*7.5</f>
        <v>0</v>
      </c>
      <c r="H12" s="70">
        <f t="shared" ref="H12" si="2">C12/100*0</f>
        <v>0</v>
      </c>
      <c r="I12" s="70">
        <f>C12/100*0.3</f>
        <v>0</v>
      </c>
      <c r="J12" s="70">
        <f>C12/100*2.7</f>
        <v>0</v>
      </c>
      <c r="K12" s="70">
        <f>C12/100*3</f>
        <v>0</v>
      </c>
      <c r="L12" s="70">
        <f>C12/100*0</f>
        <v>0</v>
      </c>
      <c r="M12" s="3">
        <v>6</v>
      </c>
    </row>
    <row r="13" spans="1:13">
      <c r="A13" s="72"/>
      <c r="B13" s="81" t="s">
        <v>523</v>
      </c>
      <c r="C13" s="4">
        <v>20</v>
      </c>
      <c r="D13" s="5">
        <f>C13/100*37</f>
        <v>7.4</v>
      </c>
      <c r="E13" s="11">
        <f>C13/100*0.6</f>
        <v>0.12</v>
      </c>
      <c r="F13" s="11">
        <f>C13/100*0.1</f>
        <v>2.0000000000000004E-2</v>
      </c>
      <c r="G13" s="11">
        <f>C13/100*9.1</f>
        <v>1.82</v>
      </c>
      <c r="H13" s="70">
        <f t="shared" ref="H13:H15" si="3">C13/100*0</f>
        <v>0</v>
      </c>
      <c r="I13" s="70">
        <f>C13/100*0.7</f>
        <v>0.13999999999999999</v>
      </c>
      <c r="J13" s="70">
        <f>C13/100*2</f>
        <v>0.4</v>
      </c>
      <c r="K13" s="70">
        <f>C13/100*2.7</f>
        <v>0.54</v>
      </c>
      <c r="L13" s="70">
        <f>C13/100*0.1</f>
        <v>2.0000000000000004E-2</v>
      </c>
      <c r="M13" s="3">
        <v>6</v>
      </c>
    </row>
    <row r="14" spans="1:13">
      <c r="A14" s="72"/>
      <c r="B14" s="103" t="s">
        <v>360</v>
      </c>
      <c r="C14" s="4">
        <v>25</v>
      </c>
      <c r="D14" s="5">
        <f>C14/100*76</f>
        <v>19</v>
      </c>
      <c r="E14" s="11">
        <f>C14/100*1.6</f>
        <v>0.4</v>
      </c>
      <c r="F14" s="11">
        <f>C14/100*0.1</f>
        <v>2.5000000000000001E-2</v>
      </c>
      <c r="G14" s="11">
        <f>C14/100*17.6</f>
        <v>4.4000000000000004</v>
      </c>
      <c r="H14" s="70">
        <f t="shared" si="3"/>
        <v>0</v>
      </c>
      <c r="I14" s="70">
        <f>C14/100*0.6</f>
        <v>0.15</v>
      </c>
      <c r="J14" s="70">
        <f>C14/100*0.7</f>
        <v>0.17499999999999999</v>
      </c>
      <c r="K14" s="70">
        <f>C14/100*1.3</f>
        <v>0.32500000000000001</v>
      </c>
      <c r="L14" s="70">
        <f>C14/100*0</f>
        <v>0</v>
      </c>
      <c r="M14" s="3">
        <v>1</v>
      </c>
    </row>
    <row r="15" spans="1:13">
      <c r="A15" s="72"/>
      <c r="B15" s="104" t="s">
        <v>1068</v>
      </c>
      <c r="C15" s="4">
        <v>55</v>
      </c>
      <c r="D15" s="5">
        <f>C15/100*87</f>
        <v>47.85</v>
      </c>
      <c r="E15" s="11">
        <f>C15/100*8.1</f>
        <v>4.4550000000000001</v>
      </c>
      <c r="F15" s="11">
        <f>C15/100*5.4</f>
        <v>2.9700000000000006</v>
      </c>
      <c r="G15" s="11">
        <f>C15/100*1.6</f>
        <v>0.88000000000000012</v>
      </c>
      <c r="H15" s="70">
        <f t="shared" si="3"/>
        <v>0</v>
      </c>
      <c r="I15" s="70"/>
      <c r="J15" s="70"/>
      <c r="K15" s="70">
        <f>C15/100*0.2</f>
        <v>0.11000000000000001</v>
      </c>
      <c r="L15" s="11">
        <f t="shared" ref="L15" si="4">C15/100*0</f>
        <v>0</v>
      </c>
      <c r="M15" s="3">
        <v>3</v>
      </c>
    </row>
    <row r="16" spans="1:13">
      <c r="A16" s="72"/>
      <c r="B16" s="104" t="s">
        <v>938</v>
      </c>
      <c r="C16" s="4">
        <v>5</v>
      </c>
      <c r="D16" s="5">
        <f>C16/100*1</f>
        <v>0.05</v>
      </c>
      <c r="E16" s="11">
        <f>C16/100*0.1</f>
        <v>5.000000000000001E-3</v>
      </c>
      <c r="F16" s="11">
        <f>C16/100*0.1</f>
        <v>5.000000000000001E-3</v>
      </c>
      <c r="G16" s="11">
        <f>C16/100*0</f>
        <v>0</v>
      </c>
      <c r="H16" s="70">
        <f>C16/100*1.7</f>
        <v>8.5000000000000006E-2</v>
      </c>
      <c r="I16" s="70"/>
      <c r="J16" s="70"/>
      <c r="K16" s="70"/>
      <c r="L16" s="11"/>
      <c r="M16" s="19" t="s">
        <v>750</v>
      </c>
    </row>
    <row r="17" spans="1:13">
      <c r="A17" s="72"/>
      <c r="B17" s="104" t="s">
        <v>934</v>
      </c>
      <c r="C17" s="4">
        <v>5</v>
      </c>
      <c r="D17" s="5">
        <f>C17/100*4</f>
        <v>0.2</v>
      </c>
      <c r="E17" s="11">
        <f>C17/100*0.1</f>
        <v>5.000000000000001E-3</v>
      </c>
      <c r="F17" s="11">
        <f>C17/100*0</f>
        <v>0</v>
      </c>
      <c r="G17" s="11">
        <f>C17/100*0.9</f>
        <v>4.5000000000000005E-2</v>
      </c>
      <c r="H17" s="70">
        <f t="shared" ref="H17:H19" si="5">C17/100*0</f>
        <v>0</v>
      </c>
      <c r="I17" s="70"/>
      <c r="J17" s="70"/>
      <c r="K17" s="70"/>
      <c r="L17" s="11"/>
      <c r="M17" s="19" t="s">
        <v>750</v>
      </c>
    </row>
    <row r="18" spans="1:13">
      <c r="A18" s="72"/>
      <c r="B18" s="81" t="s">
        <v>1109</v>
      </c>
      <c r="C18" s="4"/>
      <c r="D18" s="5">
        <f>C18/100*87</f>
        <v>0</v>
      </c>
      <c r="E18" s="11">
        <f>C18/100*8.1</f>
        <v>0</v>
      </c>
      <c r="F18" s="11">
        <f>C18/100*5.4</f>
        <v>0</v>
      </c>
      <c r="G18" s="11">
        <f>C18/100*1.6</f>
        <v>0</v>
      </c>
      <c r="H18" s="70">
        <f t="shared" si="5"/>
        <v>0</v>
      </c>
      <c r="I18" s="70"/>
      <c r="J18" s="70"/>
      <c r="K18" s="70">
        <f>C18/100*0.2</f>
        <v>0</v>
      </c>
      <c r="L18" s="11">
        <f t="shared" ref="L18:L19" si="6">C18/100*0</f>
        <v>0</v>
      </c>
      <c r="M18" s="3">
        <v>3</v>
      </c>
    </row>
    <row r="19" spans="1:13">
      <c r="A19" s="72"/>
      <c r="B19" s="81" t="s">
        <v>1179</v>
      </c>
      <c r="C19" s="4"/>
      <c r="D19" s="5">
        <f>C19/100*77</f>
        <v>0</v>
      </c>
      <c r="E19" s="11">
        <f>C19/100*7</f>
        <v>0</v>
      </c>
      <c r="F19" s="11">
        <f>C19/100*5</f>
        <v>0</v>
      </c>
      <c r="G19" s="11">
        <f>C19/100*1.3</f>
        <v>0</v>
      </c>
      <c r="H19" s="70">
        <f t="shared" si="5"/>
        <v>0</v>
      </c>
      <c r="I19" s="70">
        <f t="shared" ref="I19" si="7">C19/100*0</f>
        <v>0</v>
      </c>
      <c r="J19" s="70">
        <f t="shared" ref="J19" si="8">C19/100*0</f>
        <v>0</v>
      </c>
      <c r="K19" s="70">
        <f>C19/100*0.6</f>
        <v>0</v>
      </c>
      <c r="L19" s="11">
        <f t="shared" si="6"/>
        <v>0</v>
      </c>
      <c r="M19" s="3">
        <v>3</v>
      </c>
    </row>
    <row r="20" spans="1:13">
      <c r="A20" s="72"/>
      <c r="B20" s="104" t="s">
        <v>934</v>
      </c>
      <c r="C20" s="4"/>
      <c r="D20" s="5">
        <f>C20/100*4</f>
        <v>0</v>
      </c>
      <c r="E20" s="11">
        <f>C20/100*0.1</f>
        <v>0</v>
      </c>
      <c r="F20" s="11">
        <f>C20/100*0</f>
        <v>0</v>
      </c>
      <c r="G20" s="11">
        <f>C20/100*0.9</f>
        <v>0</v>
      </c>
      <c r="H20" s="70">
        <f t="shared" ref="H20" si="9">C20/100*0</f>
        <v>0</v>
      </c>
      <c r="I20" s="70"/>
      <c r="J20" s="70"/>
      <c r="K20" s="70"/>
      <c r="L20" s="11"/>
      <c r="M20" s="19" t="s">
        <v>750</v>
      </c>
    </row>
    <row r="21" spans="1:13">
      <c r="A21" s="72"/>
      <c r="B21" s="104" t="s">
        <v>1068</v>
      </c>
      <c r="C21" s="4"/>
      <c r="D21" s="5">
        <f>C21/100*87</f>
        <v>0</v>
      </c>
      <c r="E21" s="11">
        <f>C21/100*8.1</f>
        <v>0</v>
      </c>
      <c r="F21" s="11">
        <f>C21/100*5.4</f>
        <v>0</v>
      </c>
      <c r="G21" s="11">
        <f>C21/100*1.6</f>
        <v>0</v>
      </c>
      <c r="H21" s="70">
        <f t="shared" ref="H21:H24" si="10">C21/100*0</f>
        <v>0</v>
      </c>
      <c r="I21" s="70"/>
      <c r="J21" s="70"/>
      <c r="K21" s="70">
        <f>C21/100*0.2</f>
        <v>0</v>
      </c>
      <c r="L21" s="11">
        <f t="shared" ref="L21:L22" si="11">C21/100*0</f>
        <v>0</v>
      </c>
      <c r="M21" s="3">
        <v>3</v>
      </c>
    </row>
    <row r="22" spans="1:13">
      <c r="A22" s="72"/>
      <c r="B22" s="104" t="s">
        <v>482</v>
      </c>
      <c r="C22" s="4"/>
      <c r="D22" s="5">
        <f>C22/100*150</f>
        <v>0</v>
      </c>
      <c r="E22" s="11">
        <f>C22/100*10.7</f>
        <v>0</v>
      </c>
      <c r="F22" s="11">
        <f>C22/100*11.3</f>
        <v>0</v>
      </c>
      <c r="G22" s="11">
        <f>C22/100*0.9</f>
        <v>0</v>
      </c>
      <c r="H22" s="70">
        <f t="shared" si="10"/>
        <v>0</v>
      </c>
      <c r="I22" s="70">
        <f>C22/100*0.2</f>
        <v>0</v>
      </c>
      <c r="J22" s="70">
        <f>C22/100*0.3</f>
        <v>0</v>
      </c>
      <c r="K22" s="70">
        <f>C22/100*0.7</f>
        <v>0</v>
      </c>
      <c r="L22" s="11">
        <f t="shared" si="11"/>
        <v>0</v>
      </c>
      <c r="M22" s="3">
        <v>3</v>
      </c>
    </row>
    <row r="23" spans="1:13">
      <c r="A23" s="72"/>
      <c r="B23" s="104" t="s">
        <v>660</v>
      </c>
      <c r="C23" s="4"/>
      <c r="D23" s="5">
        <f>C23/100*183</f>
        <v>0</v>
      </c>
      <c r="E23" s="11">
        <f>C23/100*12.2</f>
        <v>0</v>
      </c>
      <c r="F23" s="11">
        <f>C23/100*4.7</f>
        <v>0</v>
      </c>
      <c r="G23" s="11">
        <f>C23/100*23</f>
        <v>0</v>
      </c>
      <c r="H23" s="70">
        <f t="shared" si="10"/>
        <v>0</v>
      </c>
      <c r="I23" s="70"/>
      <c r="J23" s="70"/>
      <c r="K23" s="70"/>
      <c r="L23" s="11">
        <f>C23/100*12.5</f>
        <v>0</v>
      </c>
      <c r="M23" s="19" t="s">
        <v>750</v>
      </c>
    </row>
    <row r="24" spans="1:13">
      <c r="A24" s="72"/>
      <c r="B24" s="104" t="s">
        <v>661</v>
      </c>
      <c r="C24" s="4">
        <v>30</v>
      </c>
      <c r="D24" s="5">
        <f>C24/100*195.3</f>
        <v>58.59</v>
      </c>
      <c r="E24" s="11">
        <f>C24/100*8.5</f>
        <v>2.5499999999999998</v>
      </c>
      <c r="F24" s="11">
        <f>C24/100*4.5</f>
        <v>1.3499999999999999</v>
      </c>
      <c r="G24" s="11">
        <f>C24/100*30.2</f>
        <v>9.0599999999999987</v>
      </c>
      <c r="H24" s="70">
        <f t="shared" si="10"/>
        <v>0</v>
      </c>
      <c r="I24" s="70"/>
      <c r="J24" s="70"/>
      <c r="K24" s="70"/>
      <c r="L24" s="11">
        <f>C24/100*11.947968</f>
        <v>3.5843903999999998</v>
      </c>
      <c r="M24" s="19" t="s">
        <v>750</v>
      </c>
    </row>
    <row r="25" spans="1:13">
      <c r="A25" s="72"/>
      <c r="B25" s="81" t="s">
        <v>1119</v>
      </c>
      <c r="C25" s="4">
        <v>24</v>
      </c>
      <c r="D25" s="5">
        <f>C25/100*135</f>
        <v>32.4</v>
      </c>
      <c r="E25" s="11">
        <f>C25/100*9.8</f>
        <v>2.3519999999999999</v>
      </c>
      <c r="F25" s="11">
        <f>C25/100*3.1</f>
        <v>0.74399999999999999</v>
      </c>
      <c r="G25" s="11">
        <f>C25/100*16.9</f>
        <v>4.0559999999999992</v>
      </c>
      <c r="H25" s="70">
        <f>C25/100*20</f>
        <v>4.8</v>
      </c>
      <c r="I25" s="70"/>
      <c r="J25" s="70"/>
      <c r="K25" s="70"/>
      <c r="L25" s="11">
        <f>C25/100*2.0947077</f>
        <v>0.50272984799999998</v>
      </c>
      <c r="M25" s="3">
        <v>3</v>
      </c>
    </row>
    <row r="26" spans="1:13">
      <c r="A26" s="72"/>
      <c r="B26" s="104" t="s">
        <v>476</v>
      </c>
      <c r="C26" s="4"/>
      <c r="D26" s="5">
        <f>C26/100*146</f>
        <v>0</v>
      </c>
      <c r="E26" s="11">
        <f>C26/100*11.7</f>
        <v>0</v>
      </c>
      <c r="F26" s="11">
        <f>C26/100*4.9</f>
        <v>0</v>
      </c>
      <c r="G26" s="11">
        <f>C26/100*13.7</f>
        <v>0</v>
      </c>
      <c r="H26" s="70">
        <f>C26/100*20</f>
        <v>0</v>
      </c>
      <c r="I26" s="70"/>
      <c r="J26" s="70"/>
      <c r="K26" s="70"/>
      <c r="L26" s="70">
        <f>C26/100*2.1</f>
        <v>0</v>
      </c>
      <c r="M26" s="3">
        <v>3</v>
      </c>
    </row>
    <row r="27" spans="1:13">
      <c r="A27" s="72"/>
      <c r="B27" s="104" t="s">
        <v>886</v>
      </c>
      <c r="C27" s="4"/>
      <c r="D27" s="5">
        <f>C27/100*101/0.45</f>
        <v>0</v>
      </c>
      <c r="E27" s="11">
        <f>C27/100*4.1/0.45</f>
        <v>0</v>
      </c>
      <c r="F27" s="11">
        <f>C27/100*3.9/0.45</f>
        <v>0</v>
      </c>
      <c r="G27" s="11">
        <f>C27/100*12.4/0.45</f>
        <v>0</v>
      </c>
      <c r="H27" s="70">
        <f>C27/100*9/0.45</f>
        <v>0</v>
      </c>
      <c r="I27" s="70"/>
      <c r="J27" s="70"/>
      <c r="K27" s="70"/>
      <c r="L27" s="11">
        <f>C27/100*0.9507532/0.45</f>
        <v>0</v>
      </c>
      <c r="M27" s="3">
        <v>3</v>
      </c>
    </row>
    <row r="28" spans="1:13">
      <c r="A28" s="72"/>
      <c r="B28" s="81" t="s">
        <v>1095</v>
      </c>
      <c r="C28" s="4"/>
      <c r="D28" s="5">
        <f>C28/100*97/0.43</f>
        <v>0</v>
      </c>
      <c r="E28" s="11">
        <f>C28/100*3.9/0.43</f>
        <v>0</v>
      </c>
      <c r="F28" s="11">
        <f>C28/100*3.7/0.43</f>
        <v>0</v>
      </c>
      <c r="G28" s="11">
        <f>C28/100*11.9/0.43</f>
        <v>0</v>
      </c>
      <c r="H28" s="70">
        <f>C28/100*8.6/0.43</f>
        <v>0</v>
      </c>
      <c r="I28" s="70"/>
      <c r="J28" s="70"/>
      <c r="K28" s="70">
        <f>C28/100*0.2/0.43</f>
        <v>0</v>
      </c>
      <c r="L28" s="11">
        <f>C28/100*0.0216/1.43</f>
        <v>0</v>
      </c>
      <c r="M28" s="3">
        <v>3</v>
      </c>
    </row>
    <row r="29" spans="1:13">
      <c r="A29" s="72"/>
      <c r="B29" s="81" t="s">
        <v>885</v>
      </c>
      <c r="C29" s="4"/>
      <c r="D29" s="5">
        <f>C29/100*139</f>
        <v>0</v>
      </c>
      <c r="E29" s="11">
        <f>C29/100*12.5</f>
        <v>0</v>
      </c>
      <c r="F29" s="11">
        <f>C29/100*3.7</f>
        <v>0</v>
      </c>
      <c r="G29" s="11">
        <f>C29/100*13.9</f>
        <v>0</v>
      </c>
      <c r="H29" s="70">
        <f>C29/100*20</f>
        <v>0</v>
      </c>
      <c r="I29" s="70"/>
      <c r="J29" s="70"/>
      <c r="K29" s="70"/>
      <c r="L29" s="70">
        <f>C29/100*1.9</f>
        <v>0</v>
      </c>
      <c r="M29" s="3">
        <v>3</v>
      </c>
    </row>
    <row r="30" spans="1:13">
      <c r="A30" s="72"/>
      <c r="B30" s="81" t="s">
        <v>659</v>
      </c>
      <c r="C30" s="4"/>
      <c r="D30" s="5">
        <f>C30/100*217</f>
        <v>0</v>
      </c>
      <c r="E30" s="11">
        <f>C30/100*9.7</f>
        <v>0</v>
      </c>
      <c r="F30" s="11">
        <f>C30/100*3</f>
        <v>0</v>
      </c>
      <c r="G30" s="11">
        <f>C30/100*37.9</f>
        <v>0</v>
      </c>
      <c r="H30" s="70">
        <f t="shared" ref="H30:H34" si="12">C30/100*0</f>
        <v>0</v>
      </c>
      <c r="I30" s="70">
        <f>C30/100*2.2</f>
        <v>0</v>
      </c>
      <c r="J30" s="70">
        <f>C30/100*4.3</f>
        <v>0</v>
      </c>
      <c r="K30" s="70">
        <f>C30/100*6.5</f>
        <v>0</v>
      </c>
      <c r="L30" s="70">
        <f>C30/100*10.9</f>
        <v>0</v>
      </c>
      <c r="M30" s="19" t="s">
        <v>750</v>
      </c>
    </row>
    <row r="31" spans="1:13">
      <c r="A31" s="72"/>
      <c r="B31" s="104"/>
      <c r="C31" s="4"/>
      <c r="D31" s="5"/>
      <c r="E31" s="11"/>
      <c r="F31" s="11"/>
      <c r="G31" s="11"/>
      <c r="H31" s="70"/>
      <c r="I31" s="70"/>
      <c r="J31" s="70"/>
      <c r="K31" s="70"/>
      <c r="L31" s="11"/>
      <c r="M31" s="19"/>
    </row>
    <row r="32" spans="1:13">
      <c r="A32" s="72"/>
      <c r="B32" s="104"/>
      <c r="C32" s="4"/>
      <c r="D32" s="5"/>
      <c r="E32" s="11"/>
      <c r="F32" s="11"/>
      <c r="G32" s="11"/>
      <c r="H32" s="70"/>
      <c r="I32" s="70"/>
      <c r="J32" s="70"/>
      <c r="K32" s="70"/>
      <c r="L32" s="11"/>
      <c r="M32" s="19"/>
    </row>
    <row r="33" spans="1:13">
      <c r="A33" s="72"/>
      <c r="B33" s="81" t="s">
        <v>943</v>
      </c>
      <c r="C33" s="4"/>
      <c r="D33" s="5">
        <f>C33/100*16</f>
        <v>0</v>
      </c>
      <c r="E33" s="11">
        <f>C33/100*1.9</f>
        <v>0</v>
      </c>
      <c r="F33" s="11">
        <f>C33/100*0.2</f>
        <v>0</v>
      </c>
      <c r="G33" s="11">
        <f>C33/100*5.6</f>
        <v>0</v>
      </c>
      <c r="H33" s="70">
        <f t="shared" si="12"/>
        <v>0</v>
      </c>
      <c r="I33" s="70"/>
      <c r="J33" s="70"/>
      <c r="K33" s="70">
        <f>C33/100*3.6</f>
        <v>0</v>
      </c>
      <c r="L33" s="11">
        <f>C33/100*1.5</f>
        <v>0</v>
      </c>
      <c r="M33" s="3">
        <v>6</v>
      </c>
    </row>
    <row r="34" spans="1:13">
      <c r="A34" s="72"/>
      <c r="B34" s="81" t="s">
        <v>527</v>
      </c>
      <c r="C34" s="4"/>
      <c r="D34" s="5">
        <f>C34/100*28</f>
        <v>0</v>
      </c>
      <c r="E34" s="11">
        <f>C34/100*6.5</f>
        <v>0</v>
      </c>
      <c r="F34" s="11">
        <f>C34/100*0.1</f>
        <v>0</v>
      </c>
      <c r="G34" s="11">
        <f>C34/100*7.2</f>
        <v>0</v>
      </c>
      <c r="H34" s="70">
        <f t="shared" si="12"/>
        <v>0</v>
      </c>
      <c r="I34" s="70">
        <f>C34/100*0.2</f>
        <v>0</v>
      </c>
      <c r="J34" s="70">
        <f>C34/100*2</f>
        <v>0</v>
      </c>
      <c r="K34" s="70">
        <f>C34/100*2.2</f>
        <v>0</v>
      </c>
      <c r="L34" s="70">
        <f>C34/100*0</f>
        <v>0</v>
      </c>
      <c r="M34" s="3">
        <v>6</v>
      </c>
    </row>
    <row r="35" spans="1:13">
      <c r="A35" s="72"/>
      <c r="B35" s="104" t="s">
        <v>937</v>
      </c>
      <c r="C35" s="4"/>
      <c r="D35" s="5">
        <f>C35/100*3</f>
        <v>0</v>
      </c>
      <c r="E35" s="11">
        <f>C35/100*0.5</f>
        <v>0</v>
      </c>
      <c r="F35" s="11">
        <f>C35/100*0.1</f>
        <v>0</v>
      </c>
      <c r="G35" s="11">
        <f>C35/100*0</f>
        <v>0</v>
      </c>
      <c r="H35" s="70">
        <f>C35/100*1.5</f>
        <v>0</v>
      </c>
      <c r="I35" s="70"/>
      <c r="J35" s="70"/>
      <c r="K35" s="70"/>
      <c r="L35" s="11"/>
      <c r="M35" s="19" t="s">
        <v>750</v>
      </c>
    </row>
    <row r="36" spans="1:13">
      <c r="A36" s="72"/>
      <c r="B36" s="81" t="s">
        <v>205</v>
      </c>
      <c r="C36" s="4"/>
      <c r="D36" s="5">
        <f>C36/100*23</f>
        <v>0</v>
      </c>
      <c r="E36" s="11">
        <f>C36/100*1.3</f>
        <v>0</v>
      </c>
      <c r="F36" s="11">
        <f>C36/100*0.2</f>
        <v>0</v>
      </c>
      <c r="G36" s="11">
        <f>C36/100*5.2</f>
        <v>0</v>
      </c>
      <c r="H36" s="70">
        <f t="shared" ref="H36" si="13">C36/100*0</f>
        <v>0</v>
      </c>
      <c r="I36" s="70">
        <f>C36/100*0.4</f>
        <v>0</v>
      </c>
      <c r="J36" s="70">
        <f>C36/100*1.4</f>
        <v>0</v>
      </c>
      <c r="K36" s="70">
        <f>C36/100*1.8</f>
        <v>0</v>
      </c>
      <c r="L36" s="70">
        <f>C36/100*0</f>
        <v>0</v>
      </c>
      <c r="M36" s="3">
        <v>6</v>
      </c>
    </row>
    <row r="37" spans="1:13">
      <c r="A37" s="72"/>
      <c r="B37" s="104" t="s">
        <v>935</v>
      </c>
      <c r="C37" s="4"/>
      <c r="D37" s="5">
        <f>C37/100*2</f>
        <v>0</v>
      </c>
      <c r="E37" s="11">
        <f>C37/100*0.3</f>
        <v>0</v>
      </c>
      <c r="F37" s="11">
        <f>C37/100*0</f>
        <v>0</v>
      </c>
      <c r="G37" s="11">
        <f>C37/100*0.3</f>
        <v>0</v>
      </c>
      <c r="H37" s="70">
        <f t="shared" ref="H37:H38" si="14">C37/100*0</f>
        <v>0</v>
      </c>
      <c r="I37" s="70"/>
      <c r="J37" s="70"/>
      <c r="K37" s="70"/>
      <c r="L37" s="11"/>
      <c r="M37" s="19" t="s">
        <v>750</v>
      </c>
    </row>
    <row r="38" spans="1:13">
      <c r="A38" s="72"/>
      <c r="B38" s="103" t="s">
        <v>480</v>
      </c>
      <c r="C38" s="4"/>
      <c r="D38" s="5">
        <f>C38/100*386</f>
        <v>0</v>
      </c>
      <c r="E38" s="11">
        <f>C38/100*18.6</f>
        <v>0</v>
      </c>
      <c r="F38" s="11">
        <f>C38/100*33.1</f>
        <v>0</v>
      </c>
      <c r="G38" s="11">
        <f>C38/100*2.5</f>
        <v>0</v>
      </c>
      <c r="H38" s="70">
        <f t="shared" si="14"/>
        <v>0</v>
      </c>
      <c r="I38" s="70">
        <f>C38/100*0.5</f>
        <v>0</v>
      </c>
      <c r="J38" s="70">
        <f>C38/100*0.6</f>
        <v>0</v>
      </c>
      <c r="K38" s="70">
        <f>C38/100*1.1</f>
        <v>0</v>
      </c>
      <c r="L38" s="70">
        <f t="shared" ref="L38" si="15">C38/100*0</f>
        <v>0</v>
      </c>
      <c r="M38" s="3">
        <v>3</v>
      </c>
    </row>
    <row r="39" spans="1:13">
      <c r="A39" s="72"/>
      <c r="B39" s="104"/>
      <c r="C39" s="4"/>
      <c r="D39" s="5"/>
      <c r="E39" s="11"/>
      <c r="F39" s="11"/>
      <c r="G39" s="11"/>
      <c r="H39" s="70"/>
      <c r="I39" s="70"/>
      <c r="J39" s="70"/>
      <c r="K39" s="70"/>
      <c r="L39" s="70"/>
      <c r="M39" s="3"/>
    </row>
    <row r="40" spans="1:13">
      <c r="A40" s="72"/>
      <c r="B40" s="81" t="s">
        <v>1259</v>
      </c>
      <c r="C40" s="4"/>
      <c r="D40" s="5">
        <f>C40/100*158</f>
        <v>0</v>
      </c>
      <c r="E40" s="11">
        <f>C40/100*12.4</f>
        <v>0</v>
      </c>
      <c r="F40" s="11">
        <f>C40/100*11.2</f>
        <v>0</v>
      </c>
      <c r="G40" s="11">
        <v>1.8</v>
      </c>
      <c r="H40" s="11">
        <f>C40/100*0</f>
        <v>0</v>
      </c>
      <c r="I40" s="70"/>
      <c r="J40" s="70"/>
      <c r="K40" s="70">
        <f t="shared" ref="K40" si="16">C40/100*0</f>
        <v>0</v>
      </c>
      <c r="L40" s="11">
        <f t="shared" ref="L40" si="17">C40/100*0</f>
        <v>0</v>
      </c>
      <c r="M40" s="19">
        <v>3</v>
      </c>
    </row>
    <row r="41" spans="1:13">
      <c r="A41" s="72"/>
      <c r="B41" s="104" t="s">
        <v>662</v>
      </c>
      <c r="C41" s="4"/>
      <c r="D41" s="5">
        <f>C41/100*185</f>
        <v>0</v>
      </c>
      <c r="E41" s="11">
        <f>C41/100*12.3</f>
        <v>0</v>
      </c>
      <c r="F41" s="11">
        <f>C41/100*5</f>
        <v>0</v>
      </c>
      <c r="G41" s="11">
        <f>C41/100*22.7</f>
        <v>0</v>
      </c>
      <c r="H41" s="70">
        <f t="shared" ref="H41:H43" si="18">C41/100*0</f>
        <v>0</v>
      </c>
      <c r="I41" s="70"/>
      <c r="J41" s="70"/>
      <c r="K41" s="70"/>
      <c r="L41" s="11">
        <f>C41/100*12.710605</f>
        <v>0</v>
      </c>
      <c r="M41" s="19" t="s">
        <v>750</v>
      </c>
    </row>
    <row r="42" spans="1:13">
      <c r="A42" s="72"/>
      <c r="B42" s="81" t="s">
        <v>170</v>
      </c>
      <c r="C42" s="4"/>
      <c r="D42" s="5">
        <f>C42/100*91</f>
        <v>0</v>
      </c>
      <c r="E42" s="11">
        <f>C42/100*1.9</f>
        <v>0</v>
      </c>
      <c r="F42" s="11">
        <f>C42/100*0.3</f>
        <v>0</v>
      </c>
      <c r="G42" s="11">
        <f>C42/100*20.5</f>
        <v>0</v>
      </c>
      <c r="H42" s="70">
        <f t="shared" si="18"/>
        <v>0</v>
      </c>
      <c r="I42" s="70">
        <f>C42/100*0.9</f>
        <v>0</v>
      </c>
      <c r="J42" s="70">
        <f>C42/100*2.6</f>
        <v>0</v>
      </c>
      <c r="K42" s="70">
        <f>C42/100*3.5</f>
        <v>0</v>
      </c>
      <c r="L42" s="70">
        <f t="shared" ref="L42" si="19">C42/100*0</f>
        <v>0</v>
      </c>
      <c r="M42" s="3">
        <v>1</v>
      </c>
    </row>
    <row r="43" spans="1:13">
      <c r="A43" s="72"/>
      <c r="B43" s="81" t="s">
        <v>308</v>
      </c>
      <c r="C43" s="4"/>
      <c r="D43" s="5">
        <f>C43/100*132</f>
        <v>0</v>
      </c>
      <c r="E43" s="11">
        <f>C43/100*1.2</f>
        <v>0</v>
      </c>
      <c r="F43" s="11">
        <f>C43/100*0.2</f>
        <v>0</v>
      </c>
      <c r="G43" s="11">
        <f>C43/100*31.5</f>
        <v>0</v>
      </c>
      <c r="H43" s="70">
        <f t="shared" si="18"/>
        <v>0</v>
      </c>
      <c r="I43" s="70">
        <f>C43/100*0.5</f>
        <v>0</v>
      </c>
      <c r="J43" s="70">
        <f>C43/100*1.8</f>
        <v>0</v>
      </c>
      <c r="K43" s="70">
        <f>C43/100*2.3</f>
        <v>0</v>
      </c>
      <c r="L43" s="70">
        <f>C43/100*0</f>
        <v>0</v>
      </c>
      <c r="M43" s="3">
        <v>1</v>
      </c>
    </row>
    <row r="44" spans="1:13" ht="14.25" thickBot="1">
      <c r="A44" s="72"/>
      <c r="B44" s="93"/>
      <c r="C44" s="134"/>
      <c r="D44" s="135"/>
      <c r="E44" s="135"/>
      <c r="F44" s="135"/>
      <c r="G44" s="135"/>
      <c r="H44" s="137"/>
      <c r="I44" s="136"/>
      <c r="J44" s="136"/>
      <c r="K44" s="136"/>
      <c r="L44" s="137"/>
      <c r="M44" s="91"/>
    </row>
    <row r="45" spans="1:13">
      <c r="A45" s="72"/>
      <c r="B45" s="140" t="s">
        <v>759</v>
      </c>
      <c r="C45" s="141">
        <f>C10</f>
        <v>890</v>
      </c>
      <c r="D45" s="138">
        <f>SUM(D12:D44)</f>
        <v>165.49</v>
      </c>
      <c r="E45" s="138">
        <f t="shared" ref="E45:L45" si="20">SUM(E12:E44)</f>
        <v>9.8869999999999987</v>
      </c>
      <c r="F45" s="138">
        <f t="shared" si="20"/>
        <v>5.1139999999999999</v>
      </c>
      <c r="G45" s="138">
        <f t="shared" si="20"/>
        <v>22.060999999999996</v>
      </c>
      <c r="H45" s="176">
        <f t="shared" si="20"/>
        <v>4.8849999999999998</v>
      </c>
      <c r="I45" s="138">
        <f t="shared" si="20"/>
        <v>0.28999999999999998</v>
      </c>
      <c r="J45" s="138">
        <f t="shared" si="20"/>
        <v>0.57499999999999996</v>
      </c>
      <c r="K45" s="138">
        <f t="shared" si="20"/>
        <v>0.97499999999999998</v>
      </c>
      <c r="L45" s="138">
        <f t="shared" si="20"/>
        <v>4.1071202479999993</v>
      </c>
      <c r="M45" s="139"/>
    </row>
    <row r="46" spans="1:13" ht="14.25" thickBot="1">
      <c r="A46" s="72"/>
      <c r="B46" s="142" t="str">
        <f>B10</f>
        <v>味噌汁・9/21作</v>
      </c>
      <c r="C46" s="143">
        <v>100</v>
      </c>
      <c r="D46" s="144">
        <f>$C46/$C45*D45</f>
        <v>18.594382022471912</v>
      </c>
      <c r="E46" s="144">
        <f t="shared" ref="E46:L46" si="21">$C46/$C45*E45</f>
        <v>1.1108988764044943</v>
      </c>
      <c r="F46" s="144">
        <f t="shared" si="21"/>
        <v>0.57460674157303371</v>
      </c>
      <c r="G46" s="144">
        <f t="shared" si="21"/>
        <v>2.4787640449438197</v>
      </c>
      <c r="H46" s="247">
        <f t="shared" si="21"/>
        <v>0.54887640449438202</v>
      </c>
      <c r="I46" s="144">
        <f t="shared" si="21"/>
        <v>3.2584269662921342E-2</v>
      </c>
      <c r="J46" s="144">
        <f t="shared" si="21"/>
        <v>6.4606741573033699E-2</v>
      </c>
      <c r="K46" s="144">
        <f t="shared" si="21"/>
        <v>0.1095505617977528</v>
      </c>
      <c r="L46" s="144">
        <f t="shared" si="21"/>
        <v>0.46147418516853922</v>
      </c>
      <c r="M46" s="144"/>
    </row>
    <row r="47" spans="1:13">
      <c r="A47" s="72"/>
      <c r="B47" s="112"/>
      <c r="C47" s="78"/>
      <c r="D47" s="76"/>
      <c r="E47" s="76"/>
      <c r="F47" s="76"/>
      <c r="G47" s="76"/>
      <c r="H47" s="76"/>
      <c r="I47" s="129"/>
      <c r="J47" s="129"/>
      <c r="K47" s="129"/>
      <c r="L47" s="119"/>
      <c r="M47" s="71"/>
    </row>
    <row r="48" spans="1:13">
      <c r="A48" s="72"/>
      <c r="B48" s="77"/>
      <c r="C48" s="78"/>
      <c r="D48" s="76"/>
      <c r="E48" s="76"/>
      <c r="F48" s="76"/>
      <c r="G48" s="76"/>
      <c r="H48" s="76"/>
      <c r="I48" s="129"/>
      <c r="J48" s="129"/>
      <c r="K48" s="129"/>
      <c r="L48" s="119"/>
      <c r="M48" s="71"/>
    </row>
    <row r="49" spans="5:13">
      <c r="E49" s="14"/>
      <c r="F49" s="14"/>
      <c r="G49" s="14"/>
      <c r="H49" s="14"/>
      <c r="I49" s="14"/>
      <c r="J49" s="14"/>
      <c r="K49" s="14"/>
      <c r="L49" s="14"/>
      <c r="M49" s="88"/>
    </row>
    <row r="50" spans="5:13">
      <c r="E50" s="14"/>
      <c r="F50" s="14"/>
      <c r="G50" s="14"/>
      <c r="H50" s="14"/>
      <c r="I50" s="14"/>
      <c r="J50" s="14"/>
      <c r="K50" s="14"/>
      <c r="L50" s="14"/>
      <c r="M50" s="88"/>
    </row>
    <row r="51" spans="5:13">
      <c r="E51" s="14"/>
      <c r="F51" s="14"/>
      <c r="G51" s="14"/>
      <c r="H51" s="14"/>
      <c r="I51" s="14"/>
      <c r="J51" s="14"/>
      <c r="K51" s="14"/>
      <c r="L51" s="14"/>
      <c r="M51" s="88"/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1"/>
  <sheetViews>
    <sheetView zoomScale="160" zoomScaleNormal="160" workbookViewId="0">
      <selection sqref="A1:XFD1048576"/>
    </sheetView>
  </sheetViews>
  <sheetFormatPr defaultRowHeight="13.5"/>
  <cols>
    <col min="1" max="1" width="2" customWidth="1"/>
    <col min="2" max="2" width="20" bestFit="1" customWidth="1"/>
    <col min="3" max="3" width="12.25" bestFit="1" customWidth="1"/>
    <col min="4" max="4" width="7.5" bestFit="1" customWidth="1"/>
    <col min="5" max="5" width="7.125" style="126" bestFit="1" customWidth="1"/>
    <col min="6" max="6" width="6.5" style="126" bestFit="1" customWidth="1"/>
    <col min="7" max="7" width="7.125" style="126" bestFit="1" customWidth="1"/>
    <col min="8" max="8" width="6.5" style="126" bestFit="1" customWidth="1"/>
    <col min="9" max="12" width="5.5" style="126" bestFit="1" customWidth="1"/>
    <col min="13" max="13" width="7.125" bestFit="1" customWidth="1"/>
  </cols>
  <sheetData>
    <row r="1" spans="1:13" ht="41.25" thickBot="1">
      <c r="A1" s="72"/>
      <c r="B1" s="104" t="s">
        <v>0</v>
      </c>
      <c r="C1" s="3" t="s">
        <v>1</v>
      </c>
      <c r="D1" s="3" t="s">
        <v>756</v>
      </c>
      <c r="E1" s="96" t="s">
        <v>757</v>
      </c>
      <c r="F1" s="3" t="s">
        <v>4</v>
      </c>
      <c r="G1" s="96" t="s">
        <v>760</v>
      </c>
      <c r="H1" s="120" t="s">
        <v>1148</v>
      </c>
      <c r="I1" s="131" t="s">
        <v>6</v>
      </c>
      <c r="J1" s="131" t="s">
        <v>7</v>
      </c>
      <c r="K1" s="131" t="s">
        <v>8</v>
      </c>
      <c r="L1" s="122" t="s">
        <v>9</v>
      </c>
      <c r="M1" s="89" t="s">
        <v>746</v>
      </c>
    </row>
    <row r="2" spans="1:13">
      <c r="A2" s="72"/>
      <c r="B2" s="140" t="s">
        <v>759</v>
      </c>
      <c r="C2" s="141">
        <f>C10</f>
        <v>1122</v>
      </c>
      <c r="D2" s="138">
        <f>SUM(D12:D44)</f>
        <v>311.96200000000005</v>
      </c>
      <c r="E2" s="138">
        <f t="shared" ref="E2:L2" si="0">SUM(E12:E44)</f>
        <v>25.092999999999996</v>
      </c>
      <c r="F2" s="138">
        <f t="shared" si="0"/>
        <v>14.585000000000001</v>
      </c>
      <c r="G2" s="138">
        <f t="shared" si="0"/>
        <v>26.029000000000003</v>
      </c>
      <c r="H2" s="138">
        <f t="shared" si="0"/>
        <v>8.5000000000000006E-2</v>
      </c>
      <c r="I2" s="138">
        <f t="shared" si="0"/>
        <v>0.378</v>
      </c>
      <c r="J2" s="138">
        <f t="shared" si="0"/>
        <v>4.2839999999999998</v>
      </c>
      <c r="K2" s="138">
        <f t="shared" si="0"/>
        <v>5.0839999999999996</v>
      </c>
      <c r="L2" s="138">
        <f t="shared" si="0"/>
        <v>6.4519027200000005</v>
      </c>
      <c r="M2" s="138"/>
    </row>
    <row r="3" spans="1:13" ht="14.25" thickBot="1">
      <c r="A3" s="72"/>
      <c r="B3" s="142" t="str">
        <f>B10</f>
        <v>味噌汁9/14作</v>
      </c>
      <c r="C3" s="143">
        <v>100</v>
      </c>
      <c r="D3" s="144">
        <f>$C$3/$C$2*D2</f>
        <v>27.804099821746885</v>
      </c>
      <c r="E3" s="144">
        <f t="shared" ref="E3:L3" si="1">$C$3/$C$2*E2</f>
        <v>2.236452762923351</v>
      </c>
      <c r="F3" s="144">
        <f t="shared" si="1"/>
        <v>1.2999108734402853</v>
      </c>
      <c r="G3" s="144">
        <f t="shared" si="1"/>
        <v>2.3198752228163997</v>
      </c>
      <c r="H3" s="144">
        <f t="shared" si="1"/>
        <v>7.575757575757576E-3</v>
      </c>
      <c r="I3" s="144">
        <f t="shared" si="1"/>
        <v>3.3689839572192515E-2</v>
      </c>
      <c r="J3" s="144">
        <f t="shared" si="1"/>
        <v>0.38181818181818178</v>
      </c>
      <c r="K3" s="144">
        <f t="shared" si="1"/>
        <v>0.45311942959001777</v>
      </c>
      <c r="L3" s="144">
        <f t="shared" si="1"/>
        <v>0.57503589304812841</v>
      </c>
      <c r="M3" s="144"/>
    </row>
    <row r="6" spans="1:13">
      <c r="C6" t="s">
        <v>1152</v>
      </c>
      <c r="D6" s="13">
        <v>1209</v>
      </c>
      <c r="E6" s="13">
        <v>333</v>
      </c>
      <c r="F6" s="13">
        <f>D6-E6</f>
        <v>876</v>
      </c>
    </row>
    <row r="7" spans="1:13">
      <c r="C7" t="s">
        <v>1153</v>
      </c>
      <c r="D7" s="13">
        <v>0</v>
      </c>
      <c r="E7" s="13">
        <v>0</v>
      </c>
      <c r="F7" s="43">
        <f>D7-E7</f>
        <v>0</v>
      </c>
    </row>
    <row r="8" spans="1:13">
      <c r="C8" t="s">
        <v>1154</v>
      </c>
      <c r="D8" s="13">
        <v>0</v>
      </c>
      <c r="E8" s="13">
        <v>0</v>
      </c>
      <c r="F8" s="13">
        <f>D8-E8</f>
        <v>0</v>
      </c>
    </row>
    <row r="9" spans="1:13">
      <c r="B9" s="14" t="s">
        <v>1155</v>
      </c>
    </row>
    <row r="10" spans="1:13">
      <c r="A10" s="72"/>
      <c r="B10" s="130" t="s">
        <v>1270</v>
      </c>
      <c r="C10" s="125">
        <v>1122</v>
      </c>
      <c r="D10" s="72"/>
      <c r="E10" s="127"/>
      <c r="F10" s="127"/>
      <c r="G10" s="127"/>
      <c r="H10" s="127"/>
      <c r="I10" s="127"/>
      <c r="J10" s="127"/>
      <c r="K10" s="127"/>
      <c r="L10" s="127"/>
      <c r="M10" s="72"/>
    </row>
    <row r="11" spans="1:13" ht="52.5" customHeight="1">
      <c r="A11" s="72"/>
      <c r="B11" s="104" t="s">
        <v>0</v>
      </c>
      <c r="C11" s="3" t="s">
        <v>1</v>
      </c>
      <c r="D11" s="3" t="s">
        <v>756</v>
      </c>
      <c r="E11" s="96" t="s">
        <v>757</v>
      </c>
      <c r="F11" s="3" t="s">
        <v>4</v>
      </c>
      <c r="G11" s="96" t="s">
        <v>760</v>
      </c>
      <c r="H11" s="120" t="s">
        <v>1148</v>
      </c>
      <c r="I11" s="131" t="s">
        <v>6</v>
      </c>
      <c r="J11" s="131" t="s">
        <v>7</v>
      </c>
      <c r="K11" s="131" t="s">
        <v>8</v>
      </c>
      <c r="L11" s="122" t="s">
        <v>9</v>
      </c>
      <c r="M11" s="89" t="s">
        <v>746</v>
      </c>
    </row>
    <row r="12" spans="1:13">
      <c r="A12" s="72"/>
      <c r="B12" s="81" t="s">
        <v>205</v>
      </c>
      <c r="C12" s="4"/>
      <c r="D12" s="5">
        <f>C12/100*23</f>
        <v>0</v>
      </c>
      <c r="E12" s="11">
        <f>C12/100*1.3</f>
        <v>0</v>
      </c>
      <c r="F12" s="11">
        <f>C12/100*0.2</f>
        <v>0</v>
      </c>
      <c r="G12" s="11">
        <f>C12/100*5.2</f>
        <v>0</v>
      </c>
      <c r="H12" s="70">
        <f t="shared" ref="H12:H20" si="2">C12/100*0</f>
        <v>0</v>
      </c>
      <c r="I12" s="70">
        <f>C12/100*0.4</f>
        <v>0</v>
      </c>
      <c r="J12" s="70">
        <f>C12/100*1.4</f>
        <v>0</v>
      </c>
      <c r="K12" s="70">
        <f>C12/100*1.8</f>
        <v>0</v>
      </c>
      <c r="L12" s="70">
        <f>C12/100*0</f>
        <v>0</v>
      </c>
      <c r="M12" s="3">
        <v>6</v>
      </c>
    </row>
    <row r="13" spans="1:13">
      <c r="A13" s="72"/>
      <c r="B13" s="81" t="s">
        <v>523</v>
      </c>
      <c r="C13" s="4"/>
      <c r="D13" s="5">
        <f>C13/100*37</f>
        <v>0</v>
      </c>
      <c r="E13" s="11">
        <f>C13/100*0.6</f>
        <v>0</v>
      </c>
      <c r="F13" s="11">
        <f>C13/100*0.1</f>
        <v>0</v>
      </c>
      <c r="G13" s="11">
        <f>C13/100*9.1</f>
        <v>0</v>
      </c>
      <c r="H13" s="70">
        <f t="shared" si="2"/>
        <v>0</v>
      </c>
      <c r="I13" s="70">
        <f>C13/100*0.7</f>
        <v>0</v>
      </c>
      <c r="J13" s="70">
        <f>C13/100*2</f>
        <v>0</v>
      </c>
      <c r="K13" s="70">
        <f>C13/100*2.7</f>
        <v>0</v>
      </c>
      <c r="L13" s="70">
        <f>C13/100*0.1</f>
        <v>0</v>
      </c>
      <c r="M13" s="3">
        <v>6</v>
      </c>
    </row>
    <row r="14" spans="1:13">
      <c r="A14" s="72"/>
      <c r="B14" s="103" t="s">
        <v>360</v>
      </c>
      <c r="C14" s="4"/>
      <c r="D14" s="5">
        <f>C14/100*76</f>
        <v>0</v>
      </c>
      <c r="E14" s="11">
        <f>C14/100*1.6</f>
        <v>0</v>
      </c>
      <c r="F14" s="11">
        <f>C14/100*0.1</f>
        <v>0</v>
      </c>
      <c r="G14" s="11">
        <f>C14/100*17.6</f>
        <v>0</v>
      </c>
      <c r="H14" s="70">
        <f t="shared" si="2"/>
        <v>0</v>
      </c>
      <c r="I14" s="70">
        <f>C14/100*0.6</f>
        <v>0</v>
      </c>
      <c r="J14" s="70">
        <f>C14/100*0.7</f>
        <v>0</v>
      </c>
      <c r="K14" s="70">
        <f>C14/100*1.3</f>
        <v>0</v>
      </c>
      <c r="L14" s="70">
        <f>C14/100*0</f>
        <v>0</v>
      </c>
      <c r="M14" s="3">
        <v>1</v>
      </c>
    </row>
    <row r="15" spans="1:13">
      <c r="A15" s="72"/>
      <c r="B15" s="81" t="s">
        <v>170</v>
      </c>
      <c r="C15" s="4"/>
      <c r="D15" s="5">
        <f>C15/100*91</f>
        <v>0</v>
      </c>
      <c r="E15" s="11">
        <f>C15/100*1.9</f>
        <v>0</v>
      </c>
      <c r="F15" s="11">
        <f>C15/100*0.3</f>
        <v>0</v>
      </c>
      <c r="G15" s="11">
        <f>C15/100*20.5</f>
        <v>0</v>
      </c>
      <c r="H15" s="70">
        <f t="shared" si="2"/>
        <v>0</v>
      </c>
      <c r="I15" s="70">
        <f>C15/100*0.9</f>
        <v>0</v>
      </c>
      <c r="J15" s="70">
        <f>C15/100*2.6</f>
        <v>0</v>
      </c>
      <c r="K15" s="70">
        <f>C15/100*3.5</f>
        <v>0</v>
      </c>
      <c r="L15" s="70">
        <f t="shared" ref="L15" si="3">C15/100*0</f>
        <v>0</v>
      </c>
      <c r="M15" s="3">
        <v>1</v>
      </c>
    </row>
    <row r="16" spans="1:13">
      <c r="A16" s="72"/>
      <c r="B16" s="81" t="s">
        <v>308</v>
      </c>
      <c r="C16" s="4"/>
      <c r="D16" s="5">
        <f>C16/100*132</f>
        <v>0</v>
      </c>
      <c r="E16" s="11">
        <f>C16/100*1.2</f>
        <v>0</v>
      </c>
      <c r="F16" s="11">
        <f>C16/100*0.2</f>
        <v>0</v>
      </c>
      <c r="G16" s="11">
        <f>C16/100*31.5</f>
        <v>0</v>
      </c>
      <c r="H16" s="70">
        <f t="shared" si="2"/>
        <v>0</v>
      </c>
      <c r="I16" s="70">
        <f>C16/100*0.5</f>
        <v>0</v>
      </c>
      <c r="J16" s="70">
        <f>C16/100*1.8</f>
        <v>0</v>
      </c>
      <c r="K16" s="70">
        <f>C16/100*2.3</f>
        <v>0</v>
      </c>
      <c r="L16" s="70">
        <f>C16/100*0</f>
        <v>0</v>
      </c>
      <c r="M16" s="3">
        <v>1</v>
      </c>
    </row>
    <row r="17" spans="1:13">
      <c r="A17" s="72"/>
      <c r="B17" s="81" t="s">
        <v>265</v>
      </c>
      <c r="C17" s="4"/>
      <c r="D17" s="5">
        <f>C17/100*14</f>
        <v>0</v>
      </c>
      <c r="E17" s="11">
        <f>C17/100*1.5</f>
        <v>0</v>
      </c>
      <c r="F17" s="11">
        <f>C17/100*0.2</f>
        <v>0</v>
      </c>
      <c r="G17" s="11">
        <f>C17/100*2.4</f>
        <v>0</v>
      </c>
      <c r="H17" s="70">
        <f t="shared" si="2"/>
        <v>0</v>
      </c>
      <c r="I17" s="70">
        <f>C17/100*0.4</f>
        <v>0</v>
      </c>
      <c r="J17" s="70">
        <f>C17/100*1.5</f>
        <v>0</v>
      </c>
      <c r="K17" s="70">
        <f>C17/100*1.9</f>
        <v>0</v>
      </c>
      <c r="L17" s="70">
        <f>C17/100*0</f>
        <v>0</v>
      </c>
      <c r="M17" s="3">
        <v>6</v>
      </c>
    </row>
    <row r="18" spans="1:13">
      <c r="A18" s="72"/>
      <c r="B18" s="104" t="s">
        <v>347</v>
      </c>
      <c r="C18" s="4"/>
      <c r="D18" s="5">
        <f>C18/100*18</f>
        <v>0</v>
      </c>
      <c r="E18" s="11">
        <f>C18/100*3</f>
        <v>0</v>
      </c>
      <c r="F18" s="11">
        <f>C18/100*0.4</f>
        <v>0</v>
      </c>
      <c r="G18" s="11">
        <f>C18/100*4.9</f>
        <v>0</v>
      </c>
      <c r="H18" s="70">
        <f t="shared" si="2"/>
        <v>0</v>
      </c>
      <c r="I18" s="70">
        <f>C18/100*0.5</f>
        <v>0</v>
      </c>
      <c r="J18" s="70">
        <f>C18/100*3</f>
        <v>0</v>
      </c>
      <c r="K18" s="70">
        <f>C18/100*3.5</f>
        <v>0</v>
      </c>
      <c r="L18" s="70">
        <f>C18/100*0</f>
        <v>0</v>
      </c>
      <c r="M18" s="3">
        <v>6</v>
      </c>
    </row>
    <row r="19" spans="1:13">
      <c r="A19" s="72"/>
      <c r="B19" s="81" t="s">
        <v>943</v>
      </c>
      <c r="C19" s="4"/>
      <c r="D19" s="5">
        <f>C19/100*16</f>
        <v>0</v>
      </c>
      <c r="E19" s="11">
        <f>C19/100*1.9</f>
        <v>0</v>
      </c>
      <c r="F19" s="11">
        <f>C19/100*0.2</f>
        <v>0</v>
      </c>
      <c r="G19" s="11">
        <f>C19/100*5.6</f>
        <v>0</v>
      </c>
      <c r="H19" s="70">
        <f t="shared" si="2"/>
        <v>0</v>
      </c>
      <c r="I19" s="70"/>
      <c r="J19" s="70"/>
      <c r="K19" s="70">
        <f>C19/100*3.6</f>
        <v>0</v>
      </c>
      <c r="L19" s="11">
        <f>C19/100*1.5</f>
        <v>0</v>
      </c>
      <c r="M19" s="3">
        <v>6</v>
      </c>
    </row>
    <row r="20" spans="1:13">
      <c r="A20" s="72"/>
      <c r="B20" s="81" t="s">
        <v>527</v>
      </c>
      <c r="C20" s="4"/>
      <c r="D20" s="5">
        <f>C20/100*28</f>
        <v>0</v>
      </c>
      <c r="E20" s="11">
        <f>C20/100*6.5</f>
        <v>0</v>
      </c>
      <c r="F20" s="11">
        <f>C20/100*0.1</f>
        <v>0</v>
      </c>
      <c r="G20" s="11">
        <f>C20/100*7.2</f>
        <v>0</v>
      </c>
      <c r="H20" s="70">
        <f t="shared" si="2"/>
        <v>0</v>
      </c>
      <c r="I20" s="70">
        <f>C20/100*0.2</f>
        <v>0</v>
      </c>
      <c r="J20" s="70">
        <f>C20/100*2</f>
        <v>0</v>
      </c>
      <c r="K20" s="70">
        <f>C20/100*2.2</f>
        <v>0</v>
      </c>
      <c r="L20" s="70">
        <f>C20/100*0</f>
        <v>0</v>
      </c>
      <c r="M20" s="3">
        <v>6</v>
      </c>
    </row>
    <row r="21" spans="1:13">
      <c r="A21" s="72"/>
      <c r="B21" s="104" t="s">
        <v>1068</v>
      </c>
      <c r="C21" s="4"/>
      <c r="D21" s="5">
        <f>C21/100*87</f>
        <v>0</v>
      </c>
      <c r="E21" s="11">
        <f>C21/100*8.1</f>
        <v>0</v>
      </c>
      <c r="F21" s="11">
        <f>C21/100*5.4</f>
        <v>0</v>
      </c>
      <c r="G21" s="11">
        <f>C21/100*1.6</f>
        <v>0</v>
      </c>
      <c r="H21" s="70">
        <f t="shared" ref="H21:H24" si="4">C21/100*0</f>
        <v>0</v>
      </c>
      <c r="I21" s="70"/>
      <c r="J21" s="70"/>
      <c r="K21" s="70">
        <f>C21/100*0.2</f>
        <v>0</v>
      </c>
      <c r="L21" s="11">
        <f t="shared" ref="L21:L24" si="5">C21/100*0</f>
        <v>0</v>
      </c>
      <c r="M21" s="3">
        <v>3</v>
      </c>
    </row>
    <row r="22" spans="1:13">
      <c r="A22" s="72"/>
      <c r="B22" s="104" t="s">
        <v>482</v>
      </c>
      <c r="C22" s="4"/>
      <c r="D22" s="5">
        <f>C22/100*150</f>
        <v>0</v>
      </c>
      <c r="E22" s="11">
        <f>C22/100*10.7</f>
        <v>0</v>
      </c>
      <c r="F22" s="11">
        <f>C22/100*11.3</f>
        <v>0</v>
      </c>
      <c r="G22" s="11">
        <f>C22/100*0.9</f>
        <v>0</v>
      </c>
      <c r="H22" s="70">
        <f t="shared" si="4"/>
        <v>0</v>
      </c>
      <c r="I22" s="70">
        <f>C22/100*0.2</f>
        <v>0</v>
      </c>
      <c r="J22" s="70">
        <f>C22/100*0.3</f>
        <v>0</v>
      </c>
      <c r="K22" s="70">
        <f>C22/100*0.7</f>
        <v>0</v>
      </c>
      <c r="L22" s="11">
        <f t="shared" si="5"/>
        <v>0</v>
      </c>
      <c r="M22" s="3">
        <v>3</v>
      </c>
    </row>
    <row r="23" spans="1:13">
      <c r="A23" s="72"/>
      <c r="B23" s="81" t="s">
        <v>1109</v>
      </c>
      <c r="C23" s="4">
        <v>211</v>
      </c>
      <c r="D23" s="5">
        <f>C23/100*87</f>
        <v>183.57</v>
      </c>
      <c r="E23" s="11">
        <f>C23/100*8.1</f>
        <v>17.090999999999998</v>
      </c>
      <c r="F23" s="11">
        <f>C23/100*5.4</f>
        <v>11.394</v>
      </c>
      <c r="G23" s="11">
        <f>C23/100*1.6</f>
        <v>3.3759999999999999</v>
      </c>
      <c r="H23" s="70">
        <f t="shared" si="4"/>
        <v>0</v>
      </c>
      <c r="I23" s="70"/>
      <c r="J23" s="70"/>
      <c r="K23" s="70">
        <f>C23/100*0.2</f>
        <v>0.42199999999999999</v>
      </c>
      <c r="L23" s="11">
        <f t="shared" si="5"/>
        <v>0</v>
      </c>
      <c r="M23" s="3">
        <v>3</v>
      </c>
    </row>
    <row r="24" spans="1:13">
      <c r="A24" s="72"/>
      <c r="B24" s="81" t="s">
        <v>1179</v>
      </c>
      <c r="C24" s="4"/>
      <c r="D24" s="5">
        <f>C24/100*77</f>
        <v>0</v>
      </c>
      <c r="E24" s="11">
        <f>C24/100*7</f>
        <v>0</v>
      </c>
      <c r="F24" s="11">
        <f>C24/100*5</f>
        <v>0</v>
      </c>
      <c r="G24" s="11">
        <f>C24/100*1.3</f>
        <v>0</v>
      </c>
      <c r="H24" s="70">
        <f t="shared" si="4"/>
        <v>0</v>
      </c>
      <c r="I24" s="70">
        <f t="shared" ref="I24" si="6">C24/100*0</f>
        <v>0</v>
      </c>
      <c r="J24" s="70">
        <f t="shared" ref="J24" si="7">C24/100*0</f>
        <v>0</v>
      </c>
      <c r="K24" s="70">
        <f>C24/100*0.6</f>
        <v>0</v>
      </c>
      <c r="L24" s="11">
        <f t="shared" si="5"/>
        <v>0</v>
      </c>
      <c r="M24" s="3">
        <v>3</v>
      </c>
    </row>
    <row r="25" spans="1:13">
      <c r="A25" s="72"/>
      <c r="B25" s="81" t="s">
        <v>1119</v>
      </c>
      <c r="C25" s="4"/>
      <c r="D25" s="5">
        <f>C25/100*135</f>
        <v>0</v>
      </c>
      <c r="E25" s="11">
        <f>C25/100*9.8</f>
        <v>0</v>
      </c>
      <c r="F25" s="11">
        <f>C25/100*3.1</f>
        <v>0</v>
      </c>
      <c r="G25" s="11">
        <f>C25/100*16.9</f>
        <v>0</v>
      </c>
      <c r="H25" s="70">
        <f>C25/100*20</f>
        <v>0</v>
      </c>
      <c r="I25" s="70"/>
      <c r="J25" s="70"/>
      <c r="K25" s="70"/>
      <c r="L25" s="11">
        <f>C25/100*2.0947077</f>
        <v>0</v>
      </c>
      <c r="M25" s="3">
        <v>3</v>
      </c>
    </row>
    <row r="26" spans="1:13">
      <c r="A26" s="72"/>
      <c r="B26" s="104" t="s">
        <v>476</v>
      </c>
      <c r="C26" s="4"/>
      <c r="D26" s="5">
        <f>C26/100*146</f>
        <v>0</v>
      </c>
      <c r="E26" s="11">
        <f>C26/100*11.7</f>
        <v>0</v>
      </c>
      <c r="F26" s="11">
        <f>C26/100*4.9</f>
        <v>0</v>
      </c>
      <c r="G26" s="11">
        <f>C26/100*13.7</f>
        <v>0</v>
      </c>
      <c r="H26" s="70">
        <f>C26/100*20</f>
        <v>0</v>
      </c>
      <c r="I26" s="70"/>
      <c r="J26" s="70"/>
      <c r="K26" s="70"/>
      <c r="L26" s="70">
        <f>C26/100*2.1</f>
        <v>0</v>
      </c>
      <c r="M26" s="3">
        <v>3</v>
      </c>
    </row>
    <row r="27" spans="1:13">
      <c r="A27" s="72"/>
      <c r="B27" s="104" t="s">
        <v>886</v>
      </c>
      <c r="C27" s="4"/>
      <c r="D27" s="5">
        <f>C27/100*101/0.45</f>
        <v>0</v>
      </c>
      <c r="E27" s="11">
        <f>C27/100*4.1/0.45</f>
        <v>0</v>
      </c>
      <c r="F27" s="11">
        <f>C27/100*3.9/0.45</f>
        <v>0</v>
      </c>
      <c r="G27" s="11">
        <f>C27/100*12.4/0.45</f>
        <v>0</v>
      </c>
      <c r="H27" s="70">
        <f>C27/100*9/0.45</f>
        <v>0</v>
      </c>
      <c r="I27" s="70"/>
      <c r="J27" s="70"/>
      <c r="K27" s="70"/>
      <c r="L27" s="11">
        <f>C27/100*0.9507532/0.45</f>
        <v>0</v>
      </c>
      <c r="M27" s="3">
        <v>3</v>
      </c>
    </row>
    <row r="28" spans="1:13">
      <c r="A28" s="72"/>
      <c r="B28" s="81" t="s">
        <v>1095</v>
      </c>
      <c r="C28" s="4"/>
      <c r="D28" s="5">
        <f>C28/100*97/0.43</f>
        <v>0</v>
      </c>
      <c r="E28" s="11">
        <f>C28/100*3.9/0.43</f>
        <v>0</v>
      </c>
      <c r="F28" s="11">
        <f>C28/100*3.7/0.43</f>
        <v>0</v>
      </c>
      <c r="G28" s="11">
        <f>C28/100*11.9/0.43</f>
        <v>0</v>
      </c>
      <c r="H28" s="70">
        <f>C28/100*8.6/0.43</f>
        <v>0</v>
      </c>
      <c r="I28" s="70"/>
      <c r="J28" s="70"/>
      <c r="K28" s="70">
        <f>C28/100*0.2/0.43</f>
        <v>0</v>
      </c>
      <c r="L28" s="11">
        <f>C28/100*0.0216/1.43</f>
        <v>0</v>
      </c>
      <c r="M28" s="3">
        <v>3</v>
      </c>
    </row>
    <row r="29" spans="1:13">
      <c r="A29" s="72"/>
      <c r="B29" s="81" t="s">
        <v>885</v>
      </c>
      <c r="C29" s="4"/>
      <c r="D29" s="5">
        <f>C29/100*139</f>
        <v>0</v>
      </c>
      <c r="E29" s="11">
        <f>C29/100*12.5</f>
        <v>0</v>
      </c>
      <c r="F29" s="11">
        <f>C29/100*3.7</f>
        <v>0</v>
      </c>
      <c r="G29" s="11">
        <f>C29/100*13.9</f>
        <v>0</v>
      </c>
      <c r="H29" s="70">
        <f>C29/100*20</f>
        <v>0</v>
      </c>
      <c r="I29" s="70"/>
      <c r="J29" s="70"/>
      <c r="K29" s="70"/>
      <c r="L29" s="70">
        <f>C29/100*1.9</f>
        <v>0</v>
      </c>
      <c r="M29" s="3">
        <v>3</v>
      </c>
    </row>
    <row r="30" spans="1:13">
      <c r="A30" s="72"/>
      <c r="B30" s="81" t="s">
        <v>659</v>
      </c>
      <c r="C30" s="4"/>
      <c r="D30" s="5">
        <f>C30/100*217</f>
        <v>0</v>
      </c>
      <c r="E30" s="11">
        <f>C30/100*9.7</f>
        <v>0</v>
      </c>
      <c r="F30" s="11">
        <f>C30/100*3</f>
        <v>0</v>
      </c>
      <c r="G30" s="11">
        <f>C30/100*37.9</f>
        <v>0</v>
      </c>
      <c r="H30" s="70">
        <f t="shared" ref="H30:H34" si="8">C30/100*0</f>
        <v>0</v>
      </c>
      <c r="I30" s="70">
        <f>C30/100*2.2</f>
        <v>0</v>
      </c>
      <c r="J30" s="70">
        <f>C30/100*4.3</f>
        <v>0</v>
      </c>
      <c r="K30" s="70">
        <f>C30/100*6.5</f>
        <v>0</v>
      </c>
      <c r="L30" s="70">
        <f>C30/100*10.9</f>
        <v>0</v>
      </c>
      <c r="M30" s="19" t="s">
        <v>750</v>
      </c>
    </row>
    <row r="31" spans="1:13">
      <c r="A31" s="72"/>
      <c r="B31" s="104" t="s">
        <v>660</v>
      </c>
      <c r="C31" s="4"/>
      <c r="D31" s="5">
        <f>C31/100*183</f>
        <v>0</v>
      </c>
      <c r="E31" s="11">
        <f>C31/100*12.2</f>
        <v>0</v>
      </c>
      <c r="F31" s="11">
        <f>C31/100*4.7</f>
        <v>0</v>
      </c>
      <c r="G31" s="11">
        <f>C31/100*23</f>
        <v>0</v>
      </c>
      <c r="H31" s="70">
        <f t="shared" si="8"/>
        <v>0</v>
      </c>
      <c r="I31" s="70"/>
      <c r="J31" s="70"/>
      <c r="K31" s="70"/>
      <c r="L31" s="11">
        <f>C31/100*12.5</f>
        <v>0</v>
      </c>
      <c r="M31" s="19" t="s">
        <v>750</v>
      </c>
    </row>
    <row r="32" spans="1:13">
      <c r="A32" s="72"/>
      <c r="B32" s="104" t="s">
        <v>661</v>
      </c>
      <c r="C32" s="4">
        <v>54</v>
      </c>
      <c r="D32" s="5">
        <f>C32/100*195.3</f>
        <v>105.46200000000002</v>
      </c>
      <c r="E32" s="11">
        <f>C32/100*8.5</f>
        <v>4.59</v>
      </c>
      <c r="F32" s="11">
        <f>C32/100*4.5</f>
        <v>2.4300000000000002</v>
      </c>
      <c r="G32" s="11">
        <f>C32/100*30.2</f>
        <v>16.308</v>
      </c>
      <c r="H32" s="70">
        <f t="shared" si="8"/>
        <v>0</v>
      </c>
      <c r="I32" s="70"/>
      <c r="J32" s="70"/>
      <c r="K32" s="70"/>
      <c r="L32" s="11">
        <f>C32/100*11.947968</f>
        <v>6.4519027200000005</v>
      </c>
      <c r="M32" s="19" t="s">
        <v>750</v>
      </c>
    </row>
    <row r="33" spans="1:13">
      <c r="A33" s="72"/>
      <c r="B33" s="104" t="s">
        <v>662</v>
      </c>
      <c r="C33" s="4"/>
      <c r="D33" s="5">
        <f>C33/100*185</f>
        <v>0</v>
      </c>
      <c r="E33" s="11">
        <f>C33/100*12.3</f>
        <v>0</v>
      </c>
      <c r="F33" s="11">
        <f>C33/100*5</f>
        <v>0</v>
      </c>
      <c r="G33" s="11">
        <f>C33/100*22.7</f>
        <v>0</v>
      </c>
      <c r="H33" s="70">
        <f t="shared" si="8"/>
        <v>0</v>
      </c>
      <c r="I33" s="70"/>
      <c r="J33" s="70"/>
      <c r="K33" s="70"/>
      <c r="L33" s="11">
        <f>C33/100*12.710605</f>
        <v>0</v>
      </c>
      <c r="M33" s="19" t="s">
        <v>750</v>
      </c>
    </row>
    <row r="34" spans="1:13">
      <c r="A34" s="72"/>
      <c r="B34" s="104" t="s">
        <v>934</v>
      </c>
      <c r="C34" s="4">
        <v>5</v>
      </c>
      <c r="D34" s="5">
        <f>C34/100*4</f>
        <v>0.2</v>
      </c>
      <c r="E34" s="11">
        <f>C34/100*0.1</f>
        <v>5.000000000000001E-3</v>
      </c>
      <c r="F34" s="11">
        <f>C34/100*0</f>
        <v>0</v>
      </c>
      <c r="G34" s="11">
        <f>C34/100*0.9</f>
        <v>4.5000000000000005E-2</v>
      </c>
      <c r="H34" s="70">
        <f t="shared" si="8"/>
        <v>0</v>
      </c>
      <c r="I34" s="70"/>
      <c r="J34" s="70"/>
      <c r="K34" s="70"/>
      <c r="L34" s="11"/>
      <c r="M34" s="19" t="s">
        <v>750</v>
      </c>
    </row>
    <row r="35" spans="1:13">
      <c r="A35" s="72"/>
      <c r="B35" s="104" t="s">
        <v>937</v>
      </c>
      <c r="C35" s="4"/>
      <c r="D35" s="5">
        <f>C35/100*3</f>
        <v>0</v>
      </c>
      <c r="E35" s="11">
        <f>C35/100*0.5</f>
        <v>0</v>
      </c>
      <c r="F35" s="11">
        <f>C35/100*0.1</f>
        <v>0</v>
      </c>
      <c r="G35" s="11">
        <f>C35/100*0</f>
        <v>0</v>
      </c>
      <c r="H35" s="70">
        <f>C35/100*1.5</f>
        <v>0</v>
      </c>
      <c r="I35" s="70"/>
      <c r="J35" s="70"/>
      <c r="K35" s="70"/>
      <c r="L35" s="11"/>
      <c r="M35" s="19" t="s">
        <v>750</v>
      </c>
    </row>
    <row r="36" spans="1:13">
      <c r="A36" s="72"/>
      <c r="B36" s="104" t="s">
        <v>938</v>
      </c>
      <c r="C36" s="4">
        <v>5</v>
      </c>
      <c r="D36" s="5">
        <f>C36/100*1</f>
        <v>0.05</v>
      </c>
      <c r="E36" s="11">
        <f>C36/100*0.1</f>
        <v>5.000000000000001E-3</v>
      </c>
      <c r="F36" s="11">
        <f>C36/100*0.1</f>
        <v>5.000000000000001E-3</v>
      </c>
      <c r="G36" s="11">
        <f>C36/100*0</f>
        <v>0</v>
      </c>
      <c r="H36" s="70">
        <f>C36/100*1.7</f>
        <v>8.5000000000000006E-2</v>
      </c>
      <c r="I36" s="70"/>
      <c r="J36" s="70"/>
      <c r="K36" s="70"/>
      <c r="L36" s="11"/>
      <c r="M36" s="19" t="s">
        <v>750</v>
      </c>
    </row>
    <row r="37" spans="1:13">
      <c r="A37" s="72"/>
      <c r="B37" s="104" t="s">
        <v>935</v>
      </c>
      <c r="C37" s="4"/>
      <c r="D37" s="5">
        <f>C37/100*2</f>
        <v>0</v>
      </c>
      <c r="E37" s="11">
        <f>C37/100*0.3</f>
        <v>0</v>
      </c>
      <c r="F37" s="11">
        <f>C37/100*0</f>
        <v>0</v>
      </c>
      <c r="G37" s="11">
        <f>C37/100*0.3</f>
        <v>0</v>
      </c>
      <c r="H37" s="70">
        <f t="shared" ref="H37:H41" si="9">C37/100*0</f>
        <v>0</v>
      </c>
      <c r="I37" s="70"/>
      <c r="J37" s="70"/>
      <c r="K37" s="70"/>
      <c r="L37" s="11"/>
      <c r="M37" s="19" t="s">
        <v>750</v>
      </c>
    </row>
    <row r="38" spans="1:13">
      <c r="A38" s="72"/>
      <c r="B38" s="104" t="s">
        <v>333</v>
      </c>
      <c r="C38" s="4"/>
      <c r="D38" s="5">
        <f>C38/100*36</f>
        <v>0</v>
      </c>
      <c r="E38" s="11">
        <f>C38/100*3.1</f>
        <v>0</v>
      </c>
      <c r="F38" s="11">
        <f>C38/100*0.2</f>
        <v>0</v>
      </c>
      <c r="G38" s="11">
        <f>C38/100*7.5</f>
        <v>0</v>
      </c>
      <c r="H38" s="70">
        <f t="shared" si="9"/>
        <v>0</v>
      </c>
      <c r="I38" s="70">
        <f>C38/100*0.3</f>
        <v>0</v>
      </c>
      <c r="J38" s="70">
        <f>C38/100*2.7</f>
        <v>0</v>
      </c>
      <c r="K38" s="70">
        <f>C38/100*3</f>
        <v>0</v>
      </c>
      <c r="L38" s="70">
        <f>C38/100*0</f>
        <v>0</v>
      </c>
      <c r="M38" s="3">
        <v>6</v>
      </c>
    </row>
    <row r="39" spans="1:13">
      <c r="A39" s="72"/>
      <c r="B39" s="81" t="s">
        <v>429</v>
      </c>
      <c r="C39" s="4"/>
      <c r="D39" s="5">
        <f>C39/100*18</f>
        <v>0</v>
      </c>
      <c r="E39" s="11">
        <f>C39/100*0.4</f>
        <v>0</v>
      </c>
      <c r="F39" s="11">
        <f t="shared" ref="F39" si="10">C39/100*0.1</f>
        <v>0</v>
      </c>
      <c r="G39" s="11">
        <f>C39/100*4.1</f>
        <v>0</v>
      </c>
      <c r="H39" s="11">
        <f t="shared" si="9"/>
        <v>0</v>
      </c>
      <c r="I39" s="70">
        <f>C39/100*0.5</f>
        <v>0</v>
      </c>
      <c r="J39" s="70">
        <f>C39/100*0.8</f>
        <v>0</v>
      </c>
      <c r="K39" s="70">
        <f>C39/100*1.3</f>
        <v>0</v>
      </c>
      <c r="L39" s="70">
        <f>C39/100*0</f>
        <v>0</v>
      </c>
      <c r="M39" s="3">
        <v>6</v>
      </c>
    </row>
    <row r="40" spans="1:13">
      <c r="A40" s="72"/>
      <c r="B40" s="104" t="s">
        <v>31</v>
      </c>
      <c r="C40" s="4"/>
      <c r="D40" s="5">
        <f>C40/100*55/0.2</f>
        <v>0</v>
      </c>
      <c r="E40" s="11">
        <f>C40/100*4.2/0.2</f>
        <v>0</v>
      </c>
      <c r="F40" s="11">
        <f>C40/100*3.7/0.2</f>
        <v>0</v>
      </c>
      <c r="G40" s="11">
        <f>C40/100*1.3/0.2</f>
        <v>0</v>
      </c>
      <c r="H40" s="11">
        <f t="shared" si="9"/>
        <v>0</v>
      </c>
      <c r="I40" s="70"/>
      <c r="J40" s="70"/>
      <c r="K40" s="70">
        <f>C40/100*0.22/0.2</f>
        <v>0</v>
      </c>
      <c r="L40" s="11">
        <f>C40/100*0.0033047/0.2</f>
        <v>0</v>
      </c>
      <c r="M40" s="3">
        <v>3</v>
      </c>
    </row>
    <row r="41" spans="1:13">
      <c r="A41" s="72"/>
      <c r="B41" s="103" t="s">
        <v>589</v>
      </c>
      <c r="C41" s="4">
        <v>126</v>
      </c>
      <c r="D41" s="5">
        <f>C41/100*18</f>
        <v>22.68</v>
      </c>
      <c r="E41" s="11">
        <f>C41/100*2.7</f>
        <v>3.4020000000000001</v>
      </c>
      <c r="F41" s="11">
        <f>C41/100*0.6</f>
        <v>0.75600000000000001</v>
      </c>
      <c r="G41" s="11">
        <f>C41/100*5</f>
        <v>6.3</v>
      </c>
      <c r="H41" s="70">
        <f t="shared" si="9"/>
        <v>0</v>
      </c>
      <c r="I41" s="70">
        <f>C41/100*0.3</f>
        <v>0.378</v>
      </c>
      <c r="J41" s="70">
        <f>C41/100*3.4</f>
        <v>4.2839999999999998</v>
      </c>
      <c r="K41" s="70">
        <f>C41/100*3.7</f>
        <v>4.6619999999999999</v>
      </c>
      <c r="L41" s="70">
        <f>C41/100*0</f>
        <v>0</v>
      </c>
      <c r="M41" s="3">
        <v>6</v>
      </c>
    </row>
    <row r="42" spans="1:13">
      <c r="A42" s="72"/>
      <c r="B42" s="92"/>
      <c r="C42" s="74"/>
      <c r="D42" s="75"/>
      <c r="E42" s="75"/>
      <c r="F42" s="75"/>
      <c r="G42" s="75"/>
      <c r="H42" s="73"/>
      <c r="I42" s="128"/>
      <c r="J42" s="128"/>
      <c r="K42" s="128"/>
      <c r="L42" s="73"/>
      <c r="M42" s="15"/>
    </row>
    <row r="43" spans="1:13">
      <c r="A43" s="72"/>
      <c r="B43" s="92"/>
      <c r="C43" s="74"/>
      <c r="D43" s="75"/>
      <c r="E43" s="75"/>
      <c r="F43" s="75"/>
      <c r="G43" s="75"/>
      <c r="H43" s="73"/>
      <c r="I43" s="128"/>
      <c r="J43" s="128"/>
      <c r="K43" s="128"/>
      <c r="L43" s="73"/>
      <c r="M43" s="15"/>
    </row>
    <row r="44" spans="1:13" ht="14.25" thickBot="1">
      <c r="A44" s="72"/>
      <c r="B44" s="93"/>
      <c r="C44" s="134"/>
      <c r="D44" s="135"/>
      <c r="E44" s="135"/>
      <c r="F44" s="135"/>
      <c r="G44" s="135"/>
      <c r="H44" s="137"/>
      <c r="I44" s="136"/>
      <c r="J44" s="136"/>
      <c r="K44" s="136"/>
      <c r="L44" s="137"/>
      <c r="M44" s="91"/>
    </row>
    <row r="45" spans="1:13">
      <c r="A45" s="72"/>
      <c r="B45" s="140" t="s">
        <v>759</v>
      </c>
      <c r="C45" s="141">
        <f>C10</f>
        <v>1122</v>
      </c>
      <c r="D45" s="138">
        <f>SUM(D12:D44)</f>
        <v>311.96200000000005</v>
      </c>
      <c r="E45" s="138">
        <f t="shared" ref="E45:L45" si="11">SUM(E12:E44)</f>
        <v>25.092999999999996</v>
      </c>
      <c r="F45" s="138">
        <f t="shared" si="11"/>
        <v>14.585000000000001</v>
      </c>
      <c r="G45" s="138">
        <f t="shared" si="11"/>
        <v>26.029000000000003</v>
      </c>
      <c r="H45" s="176">
        <f t="shared" si="11"/>
        <v>8.5000000000000006E-2</v>
      </c>
      <c r="I45" s="138">
        <f t="shared" si="11"/>
        <v>0.378</v>
      </c>
      <c r="J45" s="138">
        <f t="shared" si="11"/>
        <v>4.2839999999999998</v>
      </c>
      <c r="K45" s="138">
        <f t="shared" si="11"/>
        <v>5.0839999999999996</v>
      </c>
      <c r="L45" s="138">
        <f t="shared" si="11"/>
        <v>6.4519027200000005</v>
      </c>
      <c r="M45" s="139"/>
    </row>
    <row r="46" spans="1:13" ht="14.25" thickBot="1">
      <c r="A46" s="72"/>
      <c r="B46" s="142" t="str">
        <f>B10</f>
        <v>味噌汁9/14作</v>
      </c>
      <c r="C46" s="143">
        <v>100</v>
      </c>
      <c r="D46" s="144">
        <f>$C46/$C45*D45</f>
        <v>27.804099821746885</v>
      </c>
      <c r="E46" s="144">
        <f t="shared" ref="E46:L46" si="12">$C46/$C45*E45</f>
        <v>2.236452762923351</v>
      </c>
      <c r="F46" s="144">
        <f t="shared" si="12"/>
        <v>1.2999108734402853</v>
      </c>
      <c r="G46" s="144">
        <f t="shared" si="12"/>
        <v>2.3198752228163997</v>
      </c>
      <c r="H46" s="144">
        <f t="shared" si="12"/>
        <v>7.575757575757576E-3</v>
      </c>
      <c r="I46" s="144">
        <f t="shared" si="12"/>
        <v>3.3689839572192515E-2</v>
      </c>
      <c r="J46" s="144">
        <f t="shared" si="12"/>
        <v>0.38181818181818178</v>
      </c>
      <c r="K46" s="144">
        <f t="shared" si="12"/>
        <v>0.45311942959001777</v>
      </c>
      <c r="L46" s="144">
        <f t="shared" si="12"/>
        <v>0.57503589304812841</v>
      </c>
      <c r="M46" s="144"/>
    </row>
    <row r="47" spans="1:13">
      <c r="A47" s="72"/>
      <c r="B47" s="112"/>
      <c r="C47" s="78"/>
      <c r="D47" s="76"/>
      <c r="E47" s="76"/>
      <c r="F47" s="76"/>
      <c r="G47" s="76"/>
      <c r="H47" s="76"/>
      <c r="I47" s="129"/>
      <c r="J47" s="129"/>
      <c r="K47" s="129"/>
      <c r="L47" s="119"/>
      <c r="M47" s="71"/>
    </row>
    <row r="48" spans="1:13">
      <c r="A48" s="72"/>
      <c r="B48" s="77"/>
      <c r="C48" s="78"/>
      <c r="D48" s="76"/>
      <c r="E48" s="76"/>
      <c r="F48" s="76"/>
      <c r="G48" s="76"/>
      <c r="H48" s="76"/>
      <c r="I48" s="129"/>
      <c r="J48" s="129"/>
      <c r="K48" s="129"/>
      <c r="L48" s="119"/>
      <c r="M48" s="71"/>
    </row>
    <row r="49" spans="5:13">
      <c r="E49" s="14"/>
      <c r="F49" s="14"/>
      <c r="G49" s="14"/>
      <c r="H49" s="14"/>
      <c r="I49" s="14"/>
      <c r="J49" s="14"/>
      <c r="K49" s="14"/>
      <c r="L49" s="14"/>
      <c r="M49" s="88"/>
    </row>
    <row r="50" spans="5:13">
      <c r="E50" s="14"/>
      <c r="F50" s="14"/>
      <c r="G50" s="14"/>
      <c r="H50" s="14"/>
      <c r="I50" s="14"/>
      <c r="J50" s="14"/>
      <c r="K50" s="14"/>
      <c r="L50" s="14"/>
      <c r="M50" s="88"/>
    </row>
    <row r="51" spans="5:13">
      <c r="E51" s="14"/>
      <c r="F51" s="14"/>
      <c r="G51" s="14"/>
      <c r="H51" s="14"/>
      <c r="I51" s="14"/>
      <c r="J51" s="14"/>
      <c r="K51" s="14"/>
      <c r="L51" s="14"/>
      <c r="M51" s="88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1"/>
  <sheetViews>
    <sheetView zoomScale="160" zoomScaleNormal="160" workbookViewId="0">
      <selection sqref="A1:XFD1048576"/>
    </sheetView>
  </sheetViews>
  <sheetFormatPr defaultRowHeight="13.5"/>
  <cols>
    <col min="1" max="1" width="2" customWidth="1"/>
    <col min="2" max="2" width="29.875" bestFit="1" customWidth="1"/>
    <col min="3" max="3" width="12.25" bestFit="1" customWidth="1"/>
    <col min="4" max="4" width="6.5" bestFit="1" customWidth="1"/>
    <col min="5" max="5" width="7.125" style="126" bestFit="1" customWidth="1"/>
    <col min="6" max="6" width="6.375" style="126" bestFit="1" customWidth="1"/>
    <col min="7" max="7" width="7.125" style="126" bestFit="1" customWidth="1"/>
    <col min="8" max="8" width="6.5" style="126" bestFit="1" customWidth="1"/>
    <col min="9" max="11" width="5.5" style="126" bestFit="1" customWidth="1"/>
    <col min="12" max="12" width="7.125" style="126" bestFit="1" customWidth="1"/>
    <col min="13" max="13" width="7.125" bestFit="1" customWidth="1"/>
  </cols>
  <sheetData>
    <row r="1" spans="1:13" ht="41.25" thickBot="1">
      <c r="A1" s="72"/>
      <c r="B1" s="104" t="s">
        <v>0</v>
      </c>
      <c r="C1" s="3" t="s">
        <v>1</v>
      </c>
      <c r="D1" s="3" t="s">
        <v>756</v>
      </c>
      <c r="E1" s="96" t="s">
        <v>757</v>
      </c>
      <c r="F1" s="3" t="s">
        <v>4</v>
      </c>
      <c r="G1" s="96" t="s">
        <v>760</v>
      </c>
      <c r="H1" s="120" t="s">
        <v>1148</v>
      </c>
      <c r="I1" s="131" t="s">
        <v>6</v>
      </c>
      <c r="J1" s="131" t="s">
        <v>7</v>
      </c>
      <c r="K1" s="131" t="s">
        <v>8</v>
      </c>
      <c r="L1" s="122" t="s">
        <v>9</v>
      </c>
      <c r="M1" s="89" t="s">
        <v>746</v>
      </c>
    </row>
    <row r="2" spans="1:13">
      <c r="A2" s="72"/>
      <c r="B2" s="140" t="s">
        <v>759</v>
      </c>
      <c r="C2" s="141">
        <f>C10</f>
        <v>28</v>
      </c>
      <c r="D2" s="138">
        <f>SUM(D12:D44)</f>
        <v>4.84</v>
      </c>
      <c r="E2" s="138">
        <f t="shared" ref="E2:L2" si="0">SUM(E12:E44)</f>
        <v>0.66999999999999993</v>
      </c>
      <c r="F2" s="138">
        <f t="shared" si="0"/>
        <v>5.3000000000000005E-2</v>
      </c>
      <c r="G2" s="138">
        <f t="shared" si="0"/>
        <v>1.6159999999999999</v>
      </c>
      <c r="H2" s="138">
        <f t="shared" si="0"/>
        <v>0</v>
      </c>
      <c r="I2" s="138">
        <f t="shared" si="0"/>
        <v>6.0000000000000001E-3</v>
      </c>
      <c r="J2" s="138">
        <f t="shared" si="0"/>
        <v>0.06</v>
      </c>
      <c r="K2" s="138">
        <f t="shared" si="0"/>
        <v>0.96599999999999997</v>
      </c>
      <c r="L2" s="138">
        <f t="shared" si="0"/>
        <v>0.375</v>
      </c>
      <c r="M2" s="138"/>
    </row>
    <row r="3" spans="1:13" ht="14.25" thickBot="1">
      <c r="A3" s="72"/>
      <c r="B3" s="142" t="str">
        <f>B10</f>
        <v>味噌汁9/16の具・昼食</v>
      </c>
      <c r="C3" s="143">
        <v>100</v>
      </c>
      <c r="D3" s="144">
        <f>$C$3/$C$2*D2</f>
        <v>17.285714285714285</v>
      </c>
      <c r="E3" s="144">
        <f t="shared" ref="E3:L3" si="1">$C$3/$C$2*E2</f>
        <v>2.3928571428571428</v>
      </c>
      <c r="F3" s="144">
        <f t="shared" si="1"/>
        <v>0.18928571428571431</v>
      </c>
      <c r="G3" s="144">
        <f t="shared" si="1"/>
        <v>5.7714285714285714</v>
      </c>
      <c r="H3" s="144">
        <f t="shared" si="1"/>
        <v>0</v>
      </c>
      <c r="I3" s="144">
        <f t="shared" si="1"/>
        <v>2.1428571428571429E-2</v>
      </c>
      <c r="J3" s="144">
        <f t="shared" si="1"/>
        <v>0.2142857142857143</v>
      </c>
      <c r="K3" s="144">
        <f t="shared" si="1"/>
        <v>3.45</v>
      </c>
      <c r="L3" s="144">
        <f t="shared" si="1"/>
        <v>1.3392857142857144</v>
      </c>
      <c r="M3" s="144"/>
    </row>
    <row r="6" spans="1:13">
      <c r="C6" t="s">
        <v>1152</v>
      </c>
      <c r="D6" s="13">
        <v>39</v>
      </c>
      <c r="E6" s="13">
        <v>0</v>
      </c>
      <c r="F6" s="13">
        <f>D6-E6</f>
        <v>39</v>
      </c>
    </row>
    <row r="7" spans="1:13">
      <c r="C7" t="s">
        <v>1153</v>
      </c>
      <c r="D7" s="13">
        <v>0</v>
      </c>
      <c r="E7" s="13">
        <v>0</v>
      </c>
      <c r="F7" s="43">
        <f>D7-E7</f>
        <v>0</v>
      </c>
    </row>
    <row r="8" spans="1:13">
      <c r="C8" t="s">
        <v>1154</v>
      </c>
      <c r="D8" s="13">
        <v>0</v>
      </c>
      <c r="E8" s="13">
        <v>0</v>
      </c>
      <c r="F8" s="13">
        <f>D8-E8</f>
        <v>0</v>
      </c>
    </row>
    <row r="9" spans="1:13">
      <c r="B9" s="14" t="s">
        <v>1156</v>
      </c>
    </row>
    <row r="10" spans="1:13">
      <c r="A10" s="72"/>
      <c r="B10" s="81" t="s">
        <v>1273</v>
      </c>
      <c r="C10" s="125">
        <v>28</v>
      </c>
      <c r="D10" s="72"/>
      <c r="E10" s="127"/>
      <c r="F10" s="127"/>
      <c r="G10" s="127"/>
      <c r="H10" s="127"/>
      <c r="I10" s="127"/>
      <c r="J10" s="127"/>
      <c r="K10" s="127"/>
      <c r="L10" s="127"/>
      <c r="M10" s="72"/>
    </row>
    <row r="11" spans="1:13" ht="52.5" customHeight="1">
      <c r="A11" s="72"/>
      <c r="B11" s="104" t="s">
        <v>0</v>
      </c>
      <c r="C11" s="3" t="s">
        <v>1</v>
      </c>
      <c r="D11" s="3" t="s">
        <v>756</v>
      </c>
      <c r="E11" s="96" t="s">
        <v>757</v>
      </c>
      <c r="F11" s="3" t="s">
        <v>4</v>
      </c>
      <c r="G11" s="96" t="s">
        <v>760</v>
      </c>
      <c r="H11" s="120" t="s">
        <v>1148</v>
      </c>
      <c r="I11" s="131" t="s">
        <v>6</v>
      </c>
      <c r="J11" s="131" t="s">
        <v>7</v>
      </c>
      <c r="K11" s="131" t="s">
        <v>8</v>
      </c>
      <c r="L11" s="122" t="s">
        <v>9</v>
      </c>
      <c r="M11" s="89" t="s">
        <v>746</v>
      </c>
    </row>
    <row r="12" spans="1:13">
      <c r="A12" s="72"/>
      <c r="B12" s="81" t="s">
        <v>943</v>
      </c>
      <c r="C12" s="4">
        <v>25</v>
      </c>
      <c r="D12" s="5">
        <f>C12/100*16</f>
        <v>4</v>
      </c>
      <c r="E12" s="11">
        <f>C12/100*1.9</f>
        <v>0.47499999999999998</v>
      </c>
      <c r="F12" s="11">
        <f>C12/100*0.2</f>
        <v>0.05</v>
      </c>
      <c r="G12" s="11">
        <f>C12/100*5.6</f>
        <v>1.4</v>
      </c>
      <c r="H12" s="70">
        <f t="shared" ref="H12:H13" si="2">C12/100*0</f>
        <v>0</v>
      </c>
      <c r="I12" s="70"/>
      <c r="J12" s="70"/>
      <c r="K12" s="70">
        <f>C12/100*3.6</f>
        <v>0.9</v>
      </c>
      <c r="L12" s="11">
        <f>C12/100*1.5</f>
        <v>0.375</v>
      </c>
      <c r="M12" s="3">
        <v>6</v>
      </c>
    </row>
    <row r="13" spans="1:13">
      <c r="A13" s="72"/>
      <c r="B13" s="81" t="s">
        <v>527</v>
      </c>
      <c r="C13" s="4">
        <v>3</v>
      </c>
      <c r="D13" s="5">
        <f>C13/100*28</f>
        <v>0.84</v>
      </c>
      <c r="E13" s="11">
        <f>C13/100*6.5</f>
        <v>0.19500000000000001</v>
      </c>
      <c r="F13" s="11">
        <f>C13/100*0.1</f>
        <v>3.0000000000000001E-3</v>
      </c>
      <c r="G13" s="11">
        <f>C13/100*7.2</f>
        <v>0.216</v>
      </c>
      <c r="H13" s="70">
        <f t="shared" si="2"/>
        <v>0</v>
      </c>
      <c r="I13" s="70">
        <f>C13/100*0.2</f>
        <v>6.0000000000000001E-3</v>
      </c>
      <c r="J13" s="70">
        <f>C13/100*2</f>
        <v>0.06</v>
      </c>
      <c r="K13" s="70">
        <f>C13/100*2.2</f>
        <v>6.6000000000000003E-2</v>
      </c>
      <c r="L13" s="70">
        <f>C13/100*0</f>
        <v>0</v>
      </c>
      <c r="M13" s="3">
        <v>6</v>
      </c>
    </row>
    <row r="14" spans="1:13">
      <c r="A14" s="72"/>
      <c r="B14" s="81" t="s">
        <v>605</v>
      </c>
      <c r="C14" s="4"/>
      <c r="D14" s="5">
        <f>C14/100*126/0.14</f>
        <v>0</v>
      </c>
      <c r="E14" s="11">
        <f>C14/100*0/0.14</f>
        <v>0</v>
      </c>
      <c r="F14" s="11">
        <f>C14/100*14/0.14</f>
        <v>0</v>
      </c>
      <c r="G14" s="11">
        <f>C14/100*0/0.14</f>
        <v>0</v>
      </c>
      <c r="H14" s="70">
        <f t="shared" ref="H14:H15" si="3">C14/100*0</f>
        <v>0</v>
      </c>
      <c r="I14" s="70"/>
      <c r="J14" s="70"/>
      <c r="K14" s="70"/>
      <c r="L14" s="70"/>
      <c r="M14" s="3">
        <v>5</v>
      </c>
    </row>
    <row r="15" spans="1:13">
      <c r="A15" s="72"/>
      <c r="B15" s="81" t="s">
        <v>1252</v>
      </c>
      <c r="C15" s="4"/>
      <c r="D15" s="5">
        <f>C15/100*27</f>
        <v>0</v>
      </c>
      <c r="E15" s="11">
        <f>C15/100*3.9</f>
        <v>0</v>
      </c>
      <c r="F15" s="11">
        <f>C15/100*0</f>
        <v>0</v>
      </c>
      <c r="G15" s="11">
        <f>C15/100*2.8</f>
        <v>0</v>
      </c>
      <c r="H15" s="11">
        <f t="shared" si="3"/>
        <v>0</v>
      </c>
      <c r="I15" s="70"/>
      <c r="J15" s="70"/>
      <c r="K15" s="70"/>
      <c r="L15" s="11">
        <f>C15/100*12.710605</f>
        <v>0</v>
      </c>
      <c r="M15" s="3" t="s">
        <v>747</v>
      </c>
    </row>
    <row r="16" spans="1:13">
      <c r="A16" s="72"/>
      <c r="B16" s="104" t="s">
        <v>999</v>
      </c>
      <c r="C16" s="4"/>
      <c r="D16" s="5">
        <f>C16/100*140</f>
        <v>0</v>
      </c>
      <c r="E16" s="11">
        <f>C16/100*4.6</f>
        <v>0</v>
      </c>
      <c r="F16" s="11">
        <f>C16/100*0</f>
        <v>0</v>
      </c>
      <c r="G16" s="11">
        <f>C16/100*27.6</f>
        <v>0</v>
      </c>
      <c r="H16" s="70">
        <f>C16/100*0</f>
        <v>0</v>
      </c>
      <c r="I16" s="70"/>
      <c r="J16" s="70"/>
      <c r="K16" s="70"/>
      <c r="L16" s="11">
        <f>C16/100*11.185332</f>
        <v>0</v>
      </c>
      <c r="M16" s="19" t="s">
        <v>750</v>
      </c>
    </row>
    <row r="17" spans="1:13">
      <c r="A17" s="72"/>
      <c r="B17" s="104"/>
      <c r="C17" s="4"/>
      <c r="D17" s="5"/>
      <c r="E17" s="11"/>
      <c r="F17" s="11"/>
      <c r="G17" s="11"/>
      <c r="H17" s="70"/>
      <c r="I17" s="70"/>
      <c r="J17" s="70"/>
      <c r="K17" s="70"/>
      <c r="L17" s="70"/>
      <c r="M17" s="19"/>
    </row>
    <row r="18" spans="1:13">
      <c r="A18" s="72"/>
      <c r="B18" s="81" t="s">
        <v>1105</v>
      </c>
      <c r="C18" s="4"/>
      <c r="D18" s="5">
        <f>C18/100*289/1.1</f>
        <v>0</v>
      </c>
      <c r="E18" s="11">
        <f>C18/100*8.5/1.1</f>
        <v>0</v>
      </c>
      <c r="F18" s="11">
        <f>C18/100*1.3/1.1</f>
        <v>0</v>
      </c>
      <c r="G18" s="11">
        <f>C18/100*60.9/1.1</f>
        <v>0</v>
      </c>
      <c r="H18" s="70">
        <f t="shared" ref="H18:H19" si="4">C18/100*0</f>
        <v>0</v>
      </c>
      <c r="I18" s="70"/>
      <c r="J18" s="70"/>
      <c r="K18" s="70">
        <f>C18/100*0.15/1.1</f>
        <v>0</v>
      </c>
      <c r="L18" s="11">
        <f>C18/100*1.5456095/1.1</f>
        <v>0</v>
      </c>
      <c r="M18" s="3">
        <v>1</v>
      </c>
    </row>
    <row r="19" spans="1:13">
      <c r="A19" s="72"/>
      <c r="B19" s="104" t="s">
        <v>675</v>
      </c>
      <c r="C19" s="4"/>
      <c r="D19" s="5">
        <f>C19/100*12</f>
        <v>0</v>
      </c>
      <c r="E19" s="11">
        <f>C19/100*0.9</f>
        <v>0</v>
      </c>
      <c r="F19" s="11">
        <f>C19/100*0.1</f>
        <v>0</v>
      </c>
      <c r="G19" s="11">
        <f>C19/100*2.6</f>
        <v>0</v>
      </c>
      <c r="H19" s="70">
        <f t="shared" si="4"/>
        <v>0</v>
      </c>
      <c r="I19" s="70">
        <f>C19/100*0.4</f>
        <v>0</v>
      </c>
      <c r="J19" s="70">
        <f>C19/100*1.7</f>
        <v>0</v>
      </c>
      <c r="K19" s="70">
        <f>C19/100*2.1</f>
        <v>0</v>
      </c>
      <c r="L19" s="11">
        <f>C19/100*0</f>
        <v>0</v>
      </c>
      <c r="M19" s="3">
        <v>6</v>
      </c>
    </row>
    <row r="20" spans="1:13">
      <c r="A20" s="72"/>
      <c r="B20" s="81" t="s">
        <v>218</v>
      </c>
      <c r="C20" s="4"/>
      <c r="D20" s="5">
        <f>C20/100*14</f>
        <v>0</v>
      </c>
      <c r="E20" s="11">
        <f>C20/100*1</f>
        <v>0</v>
      </c>
      <c r="F20" s="11">
        <f>C20/100*0.1</f>
        <v>0</v>
      </c>
      <c r="G20" s="11">
        <f>C20/100*3</f>
        <v>0</v>
      </c>
      <c r="H20" s="70">
        <f>C20/100*0</f>
        <v>0</v>
      </c>
      <c r="I20" s="70">
        <f>C20/100*0.2</f>
        <v>0</v>
      </c>
      <c r="J20" s="70">
        <f>C20/100*0.9</f>
        <v>0</v>
      </c>
      <c r="K20" s="70">
        <f>C20/100*1.1</f>
        <v>0</v>
      </c>
      <c r="L20" s="70">
        <f>C20/100*0</f>
        <v>0</v>
      </c>
      <c r="M20" s="3">
        <v>6</v>
      </c>
    </row>
    <row r="21" spans="1:13">
      <c r="A21" s="72"/>
      <c r="B21" s="81" t="s">
        <v>878</v>
      </c>
      <c r="C21" s="4"/>
      <c r="D21" s="5">
        <f>C21/100*117</f>
        <v>0</v>
      </c>
      <c r="E21" s="11">
        <f>C21/100*24.1</f>
        <v>0</v>
      </c>
      <c r="F21" s="11">
        <f>C21/100*1.5</f>
        <v>0</v>
      </c>
      <c r="G21" s="11">
        <f>C21/100*0.3</f>
        <v>0</v>
      </c>
      <c r="H21" s="11">
        <f>C21/100*380</f>
        <v>0</v>
      </c>
      <c r="I21" s="70"/>
      <c r="J21" s="70"/>
      <c r="K21" s="70"/>
      <c r="L21" s="70">
        <f>C21/100*1.2</f>
        <v>0</v>
      </c>
      <c r="M21" s="3">
        <v>3</v>
      </c>
    </row>
    <row r="22" spans="1:13">
      <c r="A22" s="72"/>
      <c r="B22" s="104" t="s">
        <v>445</v>
      </c>
      <c r="C22" s="4"/>
      <c r="D22" s="5">
        <f>C22/100*99</f>
        <v>0</v>
      </c>
      <c r="E22" s="11">
        <f>C22/100*21.7</f>
        <v>0</v>
      </c>
      <c r="F22" s="11">
        <f>C22/100*0.7</f>
        <v>0</v>
      </c>
      <c r="G22" s="11">
        <f>C22/100*0.1</f>
        <v>0</v>
      </c>
      <c r="H22" s="70">
        <f>C22/100*150</f>
        <v>0</v>
      </c>
      <c r="I22" s="70"/>
      <c r="J22" s="70"/>
      <c r="K22" s="70"/>
      <c r="L22" s="70">
        <f>C22/100*0.6</f>
        <v>0</v>
      </c>
      <c r="M22" s="3">
        <v>3</v>
      </c>
    </row>
    <row r="23" spans="1:13">
      <c r="A23" s="72"/>
      <c r="B23" s="104" t="s">
        <v>371</v>
      </c>
      <c r="C23" s="4"/>
      <c r="D23" s="5">
        <f>C23/100*0</f>
        <v>0</v>
      </c>
      <c r="E23" s="11">
        <f>C23/100*0</f>
        <v>0</v>
      </c>
      <c r="F23" s="11">
        <f>C23/100*0</f>
        <v>0</v>
      </c>
      <c r="G23" s="11">
        <f>C23/100*0</f>
        <v>0</v>
      </c>
      <c r="H23" s="70">
        <f t="shared" ref="H23" si="5">C23/100*0</f>
        <v>0</v>
      </c>
      <c r="I23" s="70">
        <f>C23/100*0</f>
        <v>0</v>
      </c>
      <c r="J23" s="70">
        <f>C23/100*0</f>
        <v>0</v>
      </c>
      <c r="K23" s="70">
        <f>C23/100*0</f>
        <v>0</v>
      </c>
      <c r="L23" s="11">
        <f>C23/100*99.142719</f>
        <v>0</v>
      </c>
      <c r="M23" s="19" t="s">
        <v>750</v>
      </c>
    </row>
    <row r="24" spans="1:13">
      <c r="A24" s="72"/>
      <c r="B24" s="104" t="s">
        <v>1045</v>
      </c>
      <c r="C24" s="4"/>
      <c r="D24" s="5">
        <f>C24/100*8/0.15</f>
        <v>0</v>
      </c>
      <c r="E24" s="11">
        <f>C24/100*0.5/0.15</f>
        <v>0</v>
      </c>
      <c r="F24" s="11">
        <f>C24/100*0/0.15</f>
        <v>0</v>
      </c>
      <c r="G24" s="11">
        <f>C24/100*0.15/0.15</f>
        <v>0</v>
      </c>
      <c r="H24" s="70">
        <f>C24/100*0/0.15</f>
        <v>0</v>
      </c>
      <c r="I24" s="70"/>
      <c r="J24" s="70"/>
      <c r="K24" s="70">
        <f>C24/100*0.1/0.15</f>
        <v>0</v>
      </c>
      <c r="L24" s="11">
        <f>C24/100*0.9/0.15</f>
        <v>0</v>
      </c>
      <c r="M24" s="19" t="s">
        <v>750</v>
      </c>
    </row>
    <row r="25" spans="1:13">
      <c r="A25" s="72"/>
      <c r="B25" s="81" t="s">
        <v>205</v>
      </c>
      <c r="C25" s="4"/>
      <c r="D25" s="5">
        <f>C25/100*23</f>
        <v>0</v>
      </c>
      <c r="E25" s="11">
        <f>C25/100*1.3</f>
        <v>0</v>
      </c>
      <c r="F25" s="11">
        <f>C25/100*0.2</f>
        <v>0</v>
      </c>
      <c r="G25" s="11">
        <f>C25/100*5.2</f>
        <v>0</v>
      </c>
      <c r="H25" s="70">
        <f t="shared" ref="H25:H26" si="6">C25/100*0</f>
        <v>0</v>
      </c>
      <c r="I25" s="70">
        <f>C25/100*0.4</f>
        <v>0</v>
      </c>
      <c r="J25" s="70">
        <f>C25/100*1.4</f>
        <v>0</v>
      </c>
      <c r="K25" s="70">
        <f>C25/100*1.8</f>
        <v>0</v>
      </c>
      <c r="L25" s="70">
        <f>C25/100*0</f>
        <v>0</v>
      </c>
      <c r="M25" s="3">
        <v>6</v>
      </c>
    </row>
    <row r="26" spans="1:13">
      <c r="A26" s="72"/>
      <c r="B26" s="81" t="s">
        <v>523</v>
      </c>
      <c r="C26" s="4"/>
      <c r="D26" s="5">
        <f>C26/100*37</f>
        <v>0</v>
      </c>
      <c r="E26" s="11">
        <f>C26/100*0.6</f>
        <v>0</v>
      </c>
      <c r="F26" s="11">
        <f>C26/100*0.1</f>
        <v>0</v>
      </c>
      <c r="G26" s="11">
        <f>C26/100*9.1</f>
        <v>0</v>
      </c>
      <c r="H26" s="70">
        <f t="shared" si="6"/>
        <v>0</v>
      </c>
      <c r="I26" s="70">
        <f>C26/100*0.7</f>
        <v>0</v>
      </c>
      <c r="J26" s="70">
        <f>C26/100*2</f>
        <v>0</v>
      </c>
      <c r="K26" s="70">
        <f>C26/100*2.7</f>
        <v>0</v>
      </c>
      <c r="L26" s="70">
        <f>C26/100*0.1</f>
        <v>0</v>
      </c>
      <c r="M26" s="3">
        <v>6</v>
      </c>
    </row>
    <row r="27" spans="1:13">
      <c r="A27" s="72"/>
      <c r="B27" s="103" t="s">
        <v>584</v>
      </c>
      <c r="C27" s="4"/>
      <c r="D27" s="5">
        <f>C27/100*263</f>
        <v>0</v>
      </c>
      <c r="E27" s="11">
        <f>C27/100*19.3</f>
        <v>0</v>
      </c>
      <c r="F27" s="11">
        <f>C27/100*19.2</f>
        <v>0</v>
      </c>
      <c r="G27" s="11">
        <f>C27/100*0.2</f>
        <v>0</v>
      </c>
      <c r="H27" s="70">
        <f>C27/100*61</f>
        <v>0</v>
      </c>
      <c r="I27" s="70"/>
      <c r="J27" s="70"/>
      <c r="K27" s="70"/>
      <c r="L27" s="70">
        <f>C27/100*0.1</f>
        <v>0</v>
      </c>
      <c r="M27" s="3">
        <v>3</v>
      </c>
    </row>
    <row r="28" spans="1:13">
      <c r="A28" s="72"/>
      <c r="B28" s="104"/>
      <c r="C28" s="4"/>
      <c r="D28" s="5"/>
      <c r="E28" s="11"/>
      <c r="F28" s="11"/>
      <c r="G28" s="11"/>
      <c r="H28" s="70"/>
      <c r="I28" s="70"/>
      <c r="J28" s="70"/>
      <c r="K28" s="70"/>
      <c r="L28" s="70"/>
      <c r="M28" s="3"/>
    </row>
    <row r="29" spans="1:13">
      <c r="A29" s="72"/>
      <c r="B29" s="81" t="s">
        <v>1224</v>
      </c>
      <c r="C29" s="4"/>
      <c r="D29" s="5">
        <f>C29/100*18</f>
        <v>0</v>
      </c>
      <c r="E29" s="11">
        <f>C29/100*0.5</f>
        <v>0</v>
      </c>
      <c r="F29" s="11">
        <f>C29/100*0.2</f>
        <v>0</v>
      </c>
      <c r="G29" s="11">
        <f>C29/100*3.8</f>
        <v>0</v>
      </c>
      <c r="H29" s="70">
        <f t="shared" ref="H29:H33" si="7">C29/100*0</f>
        <v>0</v>
      </c>
      <c r="I29" s="70"/>
      <c r="J29" s="70"/>
      <c r="K29" s="70">
        <f>C29/100*0.5</f>
        <v>0</v>
      </c>
      <c r="L29" s="11">
        <f>C29/100*5.737567</f>
        <v>0</v>
      </c>
      <c r="M29" s="3">
        <v>6</v>
      </c>
    </row>
    <row r="30" spans="1:13">
      <c r="A30" s="72"/>
      <c r="B30" s="81" t="s">
        <v>1136</v>
      </c>
      <c r="C30" s="4"/>
      <c r="D30" s="5">
        <f>C30/100*130</f>
        <v>0</v>
      </c>
      <c r="E30" s="11">
        <f>C30/100*22.1</f>
        <v>0</v>
      </c>
      <c r="F30" s="11">
        <f>C30/100*0.6</f>
        <v>0</v>
      </c>
      <c r="G30" s="11">
        <f>C30/100*41.7</f>
        <v>0</v>
      </c>
      <c r="H30" s="70">
        <f t="shared" si="7"/>
        <v>0</v>
      </c>
      <c r="I30" s="70"/>
      <c r="J30" s="70"/>
      <c r="K30" s="70">
        <f>C30/100*29.1</f>
        <v>0</v>
      </c>
      <c r="L30" s="11">
        <f>C30/100*9.9142719</f>
        <v>0</v>
      </c>
      <c r="M30" s="19" t="s">
        <v>750</v>
      </c>
    </row>
    <row r="31" spans="1:13">
      <c r="A31" s="72"/>
      <c r="B31" s="81" t="s">
        <v>1135</v>
      </c>
      <c r="C31" s="4"/>
      <c r="D31" s="5">
        <f>C31/100*61/0.5</f>
        <v>0</v>
      </c>
      <c r="E31" s="11">
        <f>C31/100*0.5/0.5</f>
        <v>0</v>
      </c>
      <c r="F31" s="11">
        <f>C31/100*0/0.5</f>
        <v>0</v>
      </c>
      <c r="G31" s="11">
        <f>C31/100*14.8/0.5</f>
        <v>0</v>
      </c>
      <c r="H31" s="70">
        <f t="shared" si="7"/>
        <v>0</v>
      </c>
      <c r="I31" s="70"/>
      <c r="J31" s="70"/>
      <c r="K31" s="70">
        <f>C31/100*0.6/0.5</f>
        <v>0</v>
      </c>
      <c r="L31" s="11">
        <f>C31/100*1.5252726/0.5</f>
        <v>0</v>
      </c>
      <c r="M31" s="19" t="s">
        <v>750</v>
      </c>
    </row>
    <row r="32" spans="1:13">
      <c r="A32" s="72"/>
      <c r="B32" s="104" t="s">
        <v>883</v>
      </c>
      <c r="C32" s="4"/>
      <c r="D32" s="5">
        <f>C32/100*14/0.15</f>
        <v>0</v>
      </c>
      <c r="E32" s="11">
        <f>C32/100*1.1/0.15</f>
        <v>0</v>
      </c>
      <c r="F32" s="11">
        <f>C32/100*0/0.15</f>
        <v>0</v>
      </c>
      <c r="G32" s="11">
        <f>C32/100*2.1/0.15</f>
        <v>0</v>
      </c>
      <c r="H32" s="70">
        <f t="shared" si="7"/>
        <v>0</v>
      </c>
      <c r="I32" s="70"/>
      <c r="J32" s="70"/>
      <c r="K32" s="70"/>
      <c r="L32" s="11">
        <f>C32/100*1.9828543/0.15</f>
        <v>0</v>
      </c>
      <c r="M32" s="19" t="s">
        <v>750</v>
      </c>
    </row>
    <row r="33" spans="1:13">
      <c r="A33" s="72"/>
      <c r="B33" s="104" t="s">
        <v>522</v>
      </c>
      <c r="C33" s="4"/>
      <c r="D33" s="5">
        <f>C33/100*21</f>
        <v>0</v>
      </c>
      <c r="E33" s="11">
        <f>C33/100*1.7</f>
        <v>0</v>
      </c>
      <c r="F33" s="11">
        <f>C33/100*0.3</f>
        <v>0</v>
      </c>
      <c r="G33" s="11">
        <f>C33/100*4</f>
        <v>0</v>
      </c>
      <c r="H33" s="70">
        <f t="shared" si="7"/>
        <v>0</v>
      </c>
      <c r="I33" s="70">
        <f>C33/100*0.5</f>
        <v>0</v>
      </c>
      <c r="J33" s="70">
        <f>C33/100*2.2</f>
        <v>0</v>
      </c>
      <c r="K33" s="70">
        <f>C33/100*2.7</f>
        <v>0</v>
      </c>
      <c r="L33" s="70">
        <f>C33/100*0</f>
        <v>0</v>
      </c>
      <c r="M33" s="3">
        <v>6</v>
      </c>
    </row>
    <row r="34" spans="1:13">
      <c r="A34" s="72"/>
      <c r="B34" s="81" t="s">
        <v>448</v>
      </c>
      <c r="C34" s="4"/>
      <c r="D34" s="5">
        <f>C34/100*151</f>
        <v>0</v>
      </c>
      <c r="E34" s="11">
        <f>C34/100*12.3</f>
        <v>0</v>
      </c>
      <c r="F34" s="11">
        <f>C34/100*10.3</f>
        <v>0</v>
      </c>
      <c r="G34" s="11">
        <f>C34/100*0.3</f>
        <v>0</v>
      </c>
      <c r="H34" s="70">
        <f>C34/100*420</f>
        <v>0</v>
      </c>
      <c r="I34" s="70"/>
      <c r="J34" s="70"/>
      <c r="K34" s="70"/>
      <c r="L34" s="70">
        <f>C34/100*0.4</f>
        <v>0</v>
      </c>
      <c r="M34" s="3">
        <v>3</v>
      </c>
    </row>
    <row r="35" spans="1:13">
      <c r="A35" s="72"/>
      <c r="B35" s="104"/>
      <c r="C35" s="4"/>
      <c r="D35" s="5"/>
      <c r="E35" s="11"/>
      <c r="F35" s="11"/>
      <c r="G35" s="11"/>
      <c r="H35" s="70"/>
      <c r="I35" s="70"/>
      <c r="J35" s="70"/>
      <c r="K35" s="70"/>
      <c r="L35" s="11"/>
      <c r="M35" s="19"/>
    </row>
    <row r="36" spans="1:13">
      <c r="A36" s="72"/>
      <c r="B36" s="81"/>
      <c r="C36" s="4"/>
      <c r="D36" s="5"/>
      <c r="E36" s="11"/>
      <c r="F36" s="11"/>
      <c r="G36" s="11"/>
      <c r="H36" s="70"/>
      <c r="I36" s="70"/>
      <c r="J36" s="70"/>
      <c r="K36" s="70"/>
      <c r="L36" s="70"/>
      <c r="M36" s="3"/>
    </row>
    <row r="37" spans="1:13">
      <c r="A37" s="72"/>
      <c r="B37" s="81" t="s">
        <v>52</v>
      </c>
      <c r="C37" s="4"/>
      <c r="D37" s="5">
        <f>C37/100*88</f>
        <v>0</v>
      </c>
      <c r="E37" s="11">
        <f>C37/100*18.1</f>
        <v>0</v>
      </c>
      <c r="F37" s="11">
        <f>C37/100*1.2</f>
        <v>0</v>
      </c>
      <c r="G37" s="11">
        <f>C37/100*0.2</f>
        <v>0</v>
      </c>
      <c r="H37" s="11">
        <f>C37/100*270</f>
        <v>0</v>
      </c>
      <c r="I37" s="70"/>
      <c r="J37" s="70"/>
      <c r="K37" s="70"/>
      <c r="L37" s="70">
        <f>C37/100*0.8</f>
        <v>0</v>
      </c>
      <c r="M37" s="3">
        <v>3</v>
      </c>
    </row>
    <row r="38" spans="1:13">
      <c r="A38" s="72"/>
      <c r="B38" s="81" t="s">
        <v>1244</v>
      </c>
      <c r="C38" s="4"/>
      <c r="D38" s="5">
        <f>C38/100*289/1.1</f>
        <v>0</v>
      </c>
      <c r="E38" s="11">
        <f>C38/100*8.5/1.1</f>
        <v>0</v>
      </c>
      <c r="F38" s="11">
        <f>C38/100*1.3/1.1</f>
        <v>0</v>
      </c>
      <c r="G38" s="11">
        <f>C38/100*60.9/1.1</f>
        <v>0</v>
      </c>
      <c r="H38" s="70">
        <f t="shared" ref="H38:H41" si="8">C38/100*0</f>
        <v>0</v>
      </c>
      <c r="I38" s="70"/>
      <c r="J38" s="70"/>
      <c r="K38" s="70">
        <f>C38/100*0.15/1.1</f>
        <v>0</v>
      </c>
      <c r="L38" s="11">
        <f>C38/100*1.5456095/1.1*0.2</f>
        <v>0</v>
      </c>
      <c r="M38" s="3">
        <v>1</v>
      </c>
    </row>
    <row r="39" spans="1:13">
      <c r="A39" s="72"/>
      <c r="B39" s="81" t="s">
        <v>943</v>
      </c>
      <c r="C39" s="4"/>
      <c r="D39" s="5">
        <f>C39/100*16</f>
        <v>0</v>
      </c>
      <c r="E39" s="11">
        <f>C39/100*1.9</f>
        <v>0</v>
      </c>
      <c r="F39" s="11">
        <f>C39/100*0.2</f>
        <v>0</v>
      </c>
      <c r="G39" s="11">
        <f>C39/100*5.6</f>
        <v>0</v>
      </c>
      <c r="H39" s="70">
        <f t="shared" si="8"/>
        <v>0</v>
      </c>
      <c r="I39" s="70"/>
      <c r="J39" s="70"/>
      <c r="K39" s="70">
        <f>C39/100*3.6</f>
        <v>0</v>
      </c>
      <c r="L39" s="11">
        <f>C39/100*1.5</f>
        <v>0</v>
      </c>
      <c r="M39" s="3">
        <v>6</v>
      </c>
    </row>
    <row r="40" spans="1:13">
      <c r="A40" s="72"/>
      <c r="B40" s="103" t="s">
        <v>366</v>
      </c>
      <c r="C40" s="4"/>
      <c r="D40" s="5">
        <f>C40/100*384</f>
        <v>0</v>
      </c>
      <c r="E40" s="11">
        <f>C40/100*0</f>
        <v>0</v>
      </c>
      <c r="F40" s="11">
        <f>C40/100*0</f>
        <v>0</v>
      </c>
      <c r="G40" s="11">
        <f>C40/100*99.2</f>
        <v>0</v>
      </c>
      <c r="H40" s="70">
        <f t="shared" si="8"/>
        <v>0</v>
      </c>
      <c r="I40" s="70"/>
      <c r="J40" s="70"/>
      <c r="K40" s="70">
        <f>C40/100*0</f>
        <v>0</v>
      </c>
      <c r="L40" s="70">
        <f>C40/100*0.0025421</f>
        <v>0</v>
      </c>
      <c r="M40" s="19" t="s">
        <v>750</v>
      </c>
    </row>
    <row r="41" spans="1:13">
      <c r="A41" s="72"/>
      <c r="B41" s="104" t="s">
        <v>661</v>
      </c>
      <c r="C41" s="4"/>
      <c r="D41" s="5">
        <f>C41/100*195.3</f>
        <v>0</v>
      </c>
      <c r="E41" s="11">
        <f>C41/100*8.5</f>
        <v>0</v>
      </c>
      <c r="F41" s="11">
        <f>C41/100*4.5</f>
        <v>0</v>
      </c>
      <c r="G41" s="11">
        <f>C41/100*30.2</f>
        <v>0</v>
      </c>
      <c r="H41" s="70">
        <f t="shared" si="8"/>
        <v>0</v>
      </c>
      <c r="I41" s="70"/>
      <c r="J41" s="70"/>
      <c r="K41" s="70"/>
      <c r="L41" s="11">
        <f>C41/100*11.947968</f>
        <v>0</v>
      </c>
      <c r="M41" s="19" t="s">
        <v>750</v>
      </c>
    </row>
    <row r="42" spans="1:13">
      <c r="A42" s="72"/>
      <c r="B42" s="81" t="s">
        <v>1101</v>
      </c>
      <c r="C42" s="4"/>
      <c r="D42" s="5">
        <f>C42/100*44/0.48</f>
        <v>0</v>
      </c>
      <c r="E42" s="11">
        <f>C42/100*5.4/0.48</f>
        <v>0</v>
      </c>
      <c r="F42" s="11">
        <f>C42/100*0/0.48</f>
        <v>0</v>
      </c>
      <c r="G42" s="11">
        <f>C42/100*5.6/0.48</f>
        <v>0</v>
      </c>
      <c r="H42" s="70">
        <f>C42/100*0</f>
        <v>0</v>
      </c>
      <c r="I42" s="70"/>
      <c r="J42" s="70"/>
      <c r="K42" s="70"/>
      <c r="L42" s="11">
        <f>C42/100*1.1947968/0.48</f>
        <v>0</v>
      </c>
      <c r="M42" s="3">
        <v>3</v>
      </c>
    </row>
    <row r="43" spans="1:13">
      <c r="A43" s="72"/>
      <c r="B43" s="104" t="s">
        <v>379</v>
      </c>
      <c r="C43" s="4"/>
      <c r="D43" s="5">
        <f>C43/100*3.8/0.15</f>
        <v>0</v>
      </c>
      <c r="E43" s="11">
        <f>C43/100*0/0.15</f>
        <v>0</v>
      </c>
      <c r="F43" s="11">
        <f>C43/100*0/0.15</f>
        <v>0</v>
      </c>
      <c r="G43" s="11">
        <f>C43/100*1.1/0.15</f>
        <v>0</v>
      </c>
      <c r="H43" s="70">
        <f t="shared" ref="H43" si="9">C43/100*0</f>
        <v>0</v>
      </c>
      <c r="I43" s="70"/>
      <c r="J43" s="70"/>
      <c r="K43" s="70"/>
      <c r="L43" s="70">
        <f>C43/100*0.001271/0.15</f>
        <v>0</v>
      </c>
      <c r="M43" s="19" t="s">
        <v>750</v>
      </c>
    </row>
    <row r="44" spans="1:13" ht="14.25" thickBot="1">
      <c r="A44" s="72"/>
      <c r="B44" s="93"/>
      <c r="C44" s="134"/>
      <c r="D44" s="135"/>
      <c r="E44" s="135"/>
      <c r="F44" s="135"/>
      <c r="G44" s="135"/>
      <c r="H44" s="137"/>
      <c r="I44" s="136"/>
      <c r="J44" s="136"/>
      <c r="K44" s="136"/>
      <c r="L44" s="137"/>
      <c r="M44" s="91"/>
    </row>
    <row r="45" spans="1:13">
      <c r="A45" s="72"/>
      <c r="B45" s="140" t="s">
        <v>759</v>
      </c>
      <c r="C45" s="141">
        <f>C10</f>
        <v>28</v>
      </c>
      <c r="D45" s="138">
        <f>SUM(D12:D44)</f>
        <v>4.84</v>
      </c>
      <c r="E45" s="138">
        <f t="shared" ref="E45:L45" si="10">SUM(E12:E44)</f>
        <v>0.66999999999999993</v>
      </c>
      <c r="F45" s="138">
        <f t="shared" si="10"/>
        <v>5.3000000000000005E-2</v>
      </c>
      <c r="G45" s="138">
        <f t="shared" si="10"/>
        <v>1.6159999999999999</v>
      </c>
      <c r="H45" s="176">
        <f t="shared" si="10"/>
        <v>0</v>
      </c>
      <c r="I45" s="138">
        <f t="shared" si="10"/>
        <v>6.0000000000000001E-3</v>
      </c>
      <c r="J45" s="138">
        <f t="shared" si="10"/>
        <v>0.06</v>
      </c>
      <c r="K45" s="138">
        <f t="shared" si="10"/>
        <v>0.96599999999999997</v>
      </c>
      <c r="L45" s="138">
        <f t="shared" si="10"/>
        <v>0.375</v>
      </c>
      <c r="M45" s="139"/>
    </row>
    <row r="46" spans="1:13" ht="14.25" thickBot="1">
      <c r="A46" s="72"/>
      <c r="B46" s="142" t="str">
        <f>B10</f>
        <v>味噌汁9/16の具・昼食</v>
      </c>
      <c r="C46" s="143">
        <v>100</v>
      </c>
      <c r="D46" s="144">
        <f>$C46/$C45*D45</f>
        <v>17.285714285714285</v>
      </c>
      <c r="E46" s="144">
        <f t="shared" ref="E46:L46" si="11">$C46/$C45*E45</f>
        <v>2.3928571428571428</v>
      </c>
      <c r="F46" s="144">
        <f t="shared" si="11"/>
        <v>0.18928571428571431</v>
      </c>
      <c r="G46" s="144">
        <f t="shared" si="11"/>
        <v>5.7714285714285714</v>
      </c>
      <c r="H46" s="247">
        <f t="shared" si="11"/>
        <v>0</v>
      </c>
      <c r="I46" s="144">
        <f t="shared" si="11"/>
        <v>2.1428571428571429E-2</v>
      </c>
      <c r="J46" s="144">
        <f t="shared" si="11"/>
        <v>0.2142857142857143</v>
      </c>
      <c r="K46" s="144">
        <f t="shared" si="11"/>
        <v>3.45</v>
      </c>
      <c r="L46" s="144">
        <f t="shared" si="11"/>
        <v>1.3392857142857144</v>
      </c>
      <c r="M46" s="144"/>
    </row>
    <row r="47" spans="1:13">
      <c r="A47" s="72"/>
      <c r="B47" s="112"/>
      <c r="C47" s="78"/>
      <c r="D47" s="76"/>
      <c r="E47" s="76"/>
      <c r="F47" s="76"/>
      <c r="G47" s="76"/>
      <c r="H47" s="76"/>
      <c r="I47" s="129"/>
      <c r="J47" s="129"/>
      <c r="K47" s="129"/>
      <c r="L47" s="119"/>
      <c r="M47" s="71"/>
    </row>
    <row r="48" spans="1:13">
      <c r="A48" s="72"/>
      <c r="B48" s="77"/>
      <c r="C48" s="78"/>
      <c r="D48" s="76"/>
      <c r="E48" s="76"/>
      <c r="F48" s="76"/>
      <c r="G48" s="76"/>
      <c r="H48" s="76"/>
      <c r="I48" s="129"/>
      <c r="J48" s="129"/>
      <c r="K48" s="129"/>
      <c r="L48" s="119"/>
      <c r="M48" s="71"/>
    </row>
    <row r="49" spans="5:13">
      <c r="E49" s="14"/>
      <c r="F49" s="14"/>
      <c r="G49" s="14"/>
      <c r="H49" s="14"/>
      <c r="I49" s="14"/>
      <c r="J49" s="14"/>
      <c r="K49" s="14"/>
      <c r="L49" s="14"/>
      <c r="M49" s="88"/>
    </row>
    <row r="50" spans="5:13">
      <c r="E50" s="14"/>
      <c r="F50" s="14"/>
      <c r="G50" s="14"/>
      <c r="H50" s="14"/>
      <c r="I50" s="14"/>
      <c r="J50" s="14"/>
      <c r="K50" s="14"/>
      <c r="L50" s="14"/>
      <c r="M50" s="88"/>
    </row>
    <row r="51" spans="5:13">
      <c r="E51" s="14"/>
      <c r="F51" s="14"/>
      <c r="G51" s="14"/>
      <c r="H51" s="14"/>
      <c r="I51" s="14"/>
      <c r="J51" s="14"/>
      <c r="K51" s="14"/>
      <c r="L51" s="14"/>
      <c r="M51" s="88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1"/>
  <sheetViews>
    <sheetView zoomScale="160" zoomScaleNormal="160" workbookViewId="0">
      <selection sqref="A1:XFD1048576"/>
    </sheetView>
  </sheetViews>
  <sheetFormatPr defaultRowHeight="13.5"/>
  <cols>
    <col min="1" max="1" width="3.625" customWidth="1"/>
    <col min="2" max="2" width="27.625" bestFit="1" customWidth="1"/>
    <col min="3" max="3" width="12.25" bestFit="1" customWidth="1"/>
    <col min="4" max="4" width="6.5" bestFit="1" customWidth="1"/>
    <col min="5" max="5" width="7.125" style="126" bestFit="1" customWidth="1"/>
    <col min="6" max="6" width="6.375" style="126" bestFit="1" customWidth="1"/>
    <col min="7" max="7" width="7.125" style="126" bestFit="1" customWidth="1"/>
    <col min="8" max="8" width="6.5" style="126" bestFit="1" customWidth="1"/>
    <col min="9" max="11" width="5.5" style="126" bestFit="1" customWidth="1"/>
    <col min="12" max="12" width="7.125" style="126" bestFit="1" customWidth="1"/>
    <col min="13" max="13" width="7.125" bestFit="1" customWidth="1"/>
  </cols>
  <sheetData>
    <row r="1" spans="1:13" ht="41.25" thickBot="1">
      <c r="A1" s="72"/>
      <c r="B1" s="104" t="s">
        <v>0</v>
      </c>
      <c r="C1" s="3" t="s">
        <v>1</v>
      </c>
      <c r="D1" s="3" t="s">
        <v>756</v>
      </c>
      <c r="E1" s="96" t="s">
        <v>757</v>
      </c>
      <c r="F1" s="3" t="s">
        <v>4</v>
      </c>
      <c r="G1" s="96" t="s">
        <v>760</v>
      </c>
      <c r="H1" s="120" t="s">
        <v>1148</v>
      </c>
      <c r="I1" s="131" t="s">
        <v>6</v>
      </c>
      <c r="J1" s="131" t="s">
        <v>7</v>
      </c>
      <c r="K1" s="131" t="s">
        <v>8</v>
      </c>
      <c r="L1" s="122" t="s">
        <v>9</v>
      </c>
      <c r="M1" s="89" t="s">
        <v>746</v>
      </c>
    </row>
    <row r="2" spans="1:13">
      <c r="A2" s="72"/>
      <c r="B2" s="140" t="s">
        <v>759</v>
      </c>
      <c r="C2" s="141">
        <f>C10</f>
        <v>20</v>
      </c>
      <c r="D2" s="138">
        <f>SUM(D12:D44)</f>
        <v>4.4000000000000004</v>
      </c>
      <c r="E2" s="138">
        <f t="shared" ref="E2:L2" si="0">SUM(E12:E44)</f>
        <v>0.84000000000000008</v>
      </c>
      <c r="F2" s="138">
        <f t="shared" si="0"/>
        <v>3.0000000000000006E-2</v>
      </c>
      <c r="G2" s="138">
        <f t="shared" si="0"/>
        <v>1.28</v>
      </c>
      <c r="H2" s="138">
        <f t="shared" si="0"/>
        <v>0</v>
      </c>
      <c r="I2" s="138">
        <f t="shared" si="0"/>
        <v>2.0000000000000004E-2</v>
      </c>
      <c r="J2" s="138">
        <f t="shared" si="0"/>
        <v>0.2</v>
      </c>
      <c r="K2" s="138">
        <f t="shared" si="0"/>
        <v>0.58000000000000007</v>
      </c>
      <c r="L2" s="138">
        <f t="shared" si="0"/>
        <v>0.15000000000000002</v>
      </c>
      <c r="M2" s="138"/>
    </row>
    <row r="3" spans="1:13" ht="14.25" thickBot="1">
      <c r="A3" s="72"/>
      <c r="B3" s="142" t="str">
        <f>B10</f>
        <v>味噌汁9/16の具・夕食</v>
      </c>
      <c r="C3" s="143">
        <v>100</v>
      </c>
      <c r="D3" s="144">
        <f>$C$3/$C$2*D2</f>
        <v>22</v>
      </c>
      <c r="E3" s="144">
        <f t="shared" ref="E3:L3" si="1">$C$3/$C$2*E2</f>
        <v>4.2</v>
      </c>
      <c r="F3" s="144">
        <f t="shared" si="1"/>
        <v>0.15000000000000002</v>
      </c>
      <c r="G3" s="144">
        <f t="shared" si="1"/>
        <v>6.4</v>
      </c>
      <c r="H3" s="144">
        <f t="shared" si="1"/>
        <v>0</v>
      </c>
      <c r="I3" s="144">
        <f t="shared" si="1"/>
        <v>0.10000000000000002</v>
      </c>
      <c r="J3" s="144">
        <f t="shared" si="1"/>
        <v>1</v>
      </c>
      <c r="K3" s="144">
        <f t="shared" si="1"/>
        <v>2.9000000000000004</v>
      </c>
      <c r="L3" s="144">
        <f t="shared" si="1"/>
        <v>0.75000000000000011</v>
      </c>
      <c r="M3" s="144"/>
    </row>
    <row r="6" spans="1:13">
      <c r="C6" t="s">
        <v>1152</v>
      </c>
      <c r="D6" s="13">
        <v>1129</v>
      </c>
      <c r="E6" s="13">
        <v>333</v>
      </c>
      <c r="F6" s="13">
        <f>D6-E6</f>
        <v>796</v>
      </c>
    </row>
    <row r="7" spans="1:13">
      <c r="C7" t="s">
        <v>1153</v>
      </c>
      <c r="D7" s="13">
        <v>0</v>
      </c>
      <c r="E7" s="13">
        <v>0</v>
      </c>
      <c r="F7" s="43">
        <f>D7-E7</f>
        <v>0</v>
      </c>
    </row>
    <row r="8" spans="1:13">
      <c r="C8" t="s">
        <v>1154</v>
      </c>
      <c r="D8" s="13">
        <v>0</v>
      </c>
      <c r="E8" s="13">
        <v>0</v>
      </c>
      <c r="F8" s="13">
        <f>D8-E8</f>
        <v>0</v>
      </c>
    </row>
    <row r="9" spans="1:13">
      <c r="B9" s="14" t="s">
        <v>1157</v>
      </c>
    </row>
    <row r="10" spans="1:13">
      <c r="A10" s="72"/>
      <c r="B10" s="81" t="s">
        <v>1274</v>
      </c>
      <c r="C10" s="230">
        <v>20</v>
      </c>
      <c r="D10" s="72"/>
      <c r="E10" s="127"/>
      <c r="F10" s="127"/>
      <c r="G10" s="127"/>
      <c r="H10" s="127"/>
      <c r="I10" s="127"/>
      <c r="J10" s="127"/>
      <c r="K10" s="127"/>
      <c r="L10" s="127"/>
      <c r="M10" s="72"/>
    </row>
    <row r="11" spans="1:13" ht="52.5" customHeight="1">
      <c r="A11" s="72"/>
      <c r="B11" s="104" t="s">
        <v>0</v>
      </c>
      <c r="C11" s="3" t="s">
        <v>1</v>
      </c>
      <c r="D11" s="3" t="s">
        <v>756</v>
      </c>
      <c r="E11" s="96" t="s">
        <v>757</v>
      </c>
      <c r="F11" s="3" t="s">
        <v>4</v>
      </c>
      <c r="G11" s="96" t="s">
        <v>760</v>
      </c>
      <c r="H11" s="120" t="s">
        <v>1148</v>
      </c>
      <c r="I11" s="131" t="s">
        <v>6</v>
      </c>
      <c r="J11" s="131" t="s">
        <v>7</v>
      </c>
      <c r="K11" s="131" t="s">
        <v>8</v>
      </c>
      <c r="L11" s="122" t="s">
        <v>9</v>
      </c>
      <c r="M11" s="89" t="s">
        <v>746</v>
      </c>
    </row>
    <row r="12" spans="1:13">
      <c r="A12" s="72"/>
      <c r="B12" s="81" t="s">
        <v>943</v>
      </c>
      <c r="C12" s="4">
        <v>10</v>
      </c>
      <c r="D12" s="5">
        <f>C12/100*16</f>
        <v>1.6</v>
      </c>
      <c r="E12" s="11">
        <f>C12/100*1.9</f>
        <v>0.19</v>
      </c>
      <c r="F12" s="11">
        <f>C12/100*0.2</f>
        <v>2.0000000000000004E-2</v>
      </c>
      <c r="G12" s="11">
        <f>C12/100*5.6</f>
        <v>0.55999999999999994</v>
      </c>
      <c r="H12" s="70">
        <f t="shared" ref="H12:H13" si="2">C12/100*0</f>
        <v>0</v>
      </c>
      <c r="I12" s="70"/>
      <c r="J12" s="70"/>
      <c r="K12" s="70">
        <f>C12/100*3.6</f>
        <v>0.36000000000000004</v>
      </c>
      <c r="L12" s="11">
        <f>C12/100*1.5</f>
        <v>0.15000000000000002</v>
      </c>
      <c r="M12" s="3">
        <v>6</v>
      </c>
    </row>
    <row r="13" spans="1:13">
      <c r="A13" s="72"/>
      <c r="B13" s="81" t="s">
        <v>527</v>
      </c>
      <c r="C13" s="4">
        <v>10</v>
      </c>
      <c r="D13" s="5">
        <f>C13/100*28</f>
        <v>2.8000000000000003</v>
      </c>
      <c r="E13" s="11">
        <f>C13/100*6.5</f>
        <v>0.65</v>
      </c>
      <c r="F13" s="11">
        <f>C13/100*0.1</f>
        <v>1.0000000000000002E-2</v>
      </c>
      <c r="G13" s="11">
        <f>C13/100*7.2</f>
        <v>0.72000000000000008</v>
      </c>
      <c r="H13" s="70">
        <f t="shared" si="2"/>
        <v>0</v>
      </c>
      <c r="I13" s="70">
        <f>C13/100*0.2</f>
        <v>2.0000000000000004E-2</v>
      </c>
      <c r="J13" s="70">
        <f>C13/100*2</f>
        <v>0.2</v>
      </c>
      <c r="K13" s="70">
        <f>C13/100*2.2</f>
        <v>0.22000000000000003</v>
      </c>
      <c r="L13" s="70">
        <f>C13/100*0</f>
        <v>0</v>
      </c>
      <c r="M13" s="3">
        <v>6</v>
      </c>
    </row>
    <row r="14" spans="1:13">
      <c r="A14" s="72"/>
      <c r="B14" s="81" t="s">
        <v>605</v>
      </c>
      <c r="C14" s="4"/>
      <c r="D14" s="5">
        <f>C14/100*126/0.14</f>
        <v>0</v>
      </c>
      <c r="E14" s="11">
        <f>C14/100*0/0.14</f>
        <v>0</v>
      </c>
      <c r="F14" s="11">
        <f>C14/100*14/0.14</f>
        <v>0</v>
      </c>
      <c r="G14" s="11">
        <f>C14/100*0/0.14</f>
        <v>0</v>
      </c>
      <c r="H14" s="70">
        <f t="shared" ref="H14" si="3">C14/100*0</f>
        <v>0</v>
      </c>
      <c r="I14" s="70"/>
      <c r="J14" s="70"/>
      <c r="K14" s="70"/>
      <c r="L14" s="70"/>
      <c r="M14" s="3">
        <v>5</v>
      </c>
    </row>
    <row r="15" spans="1:13">
      <c r="A15" s="72"/>
      <c r="B15" s="81" t="s">
        <v>981</v>
      </c>
      <c r="C15" s="4"/>
      <c r="D15" s="5">
        <f>C15/100*37</f>
        <v>0</v>
      </c>
      <c r="E15" s="11">
        <f>C15/100*1</f>
        <v>0</v>
      </c>
      <c r="F15" s="11">
        <f>C15/100*0.1</f>
        <v>0</v>
      </c>
      <c r="G15" s="11">
        <f>C15/100*8.8</f>
        <v>0</v>
      </c>
      <c r="H15" s="70">
        <f>C15/100*0</f>
        <v>0</v>
      </c>
      <c r="I15" s="70">
        <f>C15/100*0.6</f>
        <v>0</v>
      </c>
      <c r="J15" s="70">
        <f>C15/100*1</f>
        <v>0</v>
      </c>
      <c r="K15" s="70">
        <f>C15/100*1.6</f>
        <v>0</v>
      </c>
      <c r="L15" s="70">
        <f>C15/100*0</f>
        <v>0</v>
      </c>
      <c r="M15" s="3">
        <v>6</v>
      </c>
    </row>
    <row r="16" spans="1:13">
      <c r="A16" s="72"/>
      <c r="B16" s="104" t="s">
        <v>478</v>
      </c>
      <c r="C16" s="4"/>
      <c r="D16" s="5">
        <f>C16/100*330</f>
        <v>0</v>
      </c>
      <c r="E16" s="11">
        <f>C16/100*0.1</f>
        <v>0</v>
      </c>
      <c r="F16" s="11">
        <f>C16/100*0.1</f>
        <v>0</v>
      </c>
      <c r="G16" s="11">
        <f>C16/100*81.6</f>
        <v>0</v>
      </c>
      <c r="H16" s="11">
        <f t="shared" ref="H16:H18" si="4">C16/100*0</f>
        <v>0</v>
      </c>
      <c r="I16" s="70">
        <f>C16/100*0</f>
        <v>0</v>
      </c>
      <c r="J16" s="70">
        <f>C16/100*0</f>
        <v>0</v>
      </c>
      <c r="K16" s="70">
        <f>C16/100*0</f>
        <v>0</v>
      </c>
      <c r="L16" s="70">
        <f>C16/100*0</f>
        <v>0</v>
      </c>
      <c r="M16" s="3">
        <v>1</v>
      </c>
    </row>
    <row r="17" spans="1:13">
      <c r="A17" s="72"/>
      <c r="B17" s="81" t="s">
        <v>1265</v>
      </c>
      <c r="C17" s="4"/>
      <c r="D17" s="5">
        <f>C17/100*27</f>
        <v>0</v>
      </c>
      <c r="E17" s="11">
        <f>C17/100*3.9</f>
        <v>0</v>
      </c>
      <c r="F17" s="11">
        <f>C17/100*0</f>
        <v>0</v>
      </c>
      <c r="G17" s="11">
        <f>C17/100*2.8</f>
        <v>0</v>
      </c>
      <c r="H17" s="11">
        <f t="shared" si="4"/>
        <v>0</v>
      </c>
      <c r="I17" s="70"/>
      <c r="J17" s="70"/>
      <c r="K17" s="70"/>
      <c r="L17" s="11">
        <f>C17/100*12.710605</f>
        <v>0</v>
      </c>
      <c r="M17" s="3" t="s">
        <v>747</v>
      </c>
    </row>
    <row r="18" spans="1:13">
      <c r="A18" s="72"/>
      <c r="B18" s="81" t="s">
        <v>1266</v>
      </c>
      <c r="C18" s="4"/>
      <c r="D18" s="5">
        <f>C18/100*120</f>
        <v>0</v>
      </c>
      <c r="E18" s="11">
        <f>C18/100*1.5</f>
        <v>0</v>
      </c>
      <c r="F18" s="11">
        <f t="shared" ref="F18" si="5">C18/100*0</f>
        <v>0</v>
      </c>
      <c r="G18" s="11">
        <f>C18/100*27.4</f>
        <v>0</v>
      </c>
      <c r="H18" s="11">
        <f t="shared" si="4"/>
        <v>0</v>
      </c>
      <c r="I18" s="70"/>
      <c r="J18" s="70"/>
      <c r="K18" s="70"/>
      <c r="L18" s="11">
        <f>C18/100*3.3047573</f>
        <v>0</v>
      </c>
      <c r="M18" s="3" t="s">
        <v>747</v>
      </c>
    </row>
    <row r="19" spans="1:13">
      <c r="A19" s="72"/>
      <c r="B19" s="104" t="s">
        <v>305</v>
      </c>
      <c r="C19" s="4"/>
      <c r="D19" s="5">
        <f>C19/100*24</f>
        <v>0</v>
      </c>
      <c r="E19" s="11">
        <f>C19/100*2.5</f>
        <v>0</v>
      </c>
      <c r="F19" s="11">
        <f>C19/100*0.1</f>
        <v>0</v>
      </c>
      <c r="G19" s="11">
        <f>C19/100*4.8</f>
        <v>0</v>
      </c>
      <c r="H19" s="70">
        <f>C19/100*0</f>
        <v>0</v>
      </c>
      <c r="I19" s="70"/>
      <c r="J19" s="70"/>
      <c r="K19" s="70">
        <f>C19/100*4.2</f>
        <v>0</v>
      </c>
      <c r="L19" s="70"/>
      <c r="M19" s="3">
        <v>6</v>
      </c>
    </row>
    <row r="20" spans="1:13">
      <c r="A20" s="72"/>
      <c r="B20" s="104" t="s">
        <v>732</v>
      </c>
      <c r="C20" s="4"/>
      <c r="D20" s="5">
        <f>C20/100*54</f>
        <v>0</v>
      </c>
      <c r="E20" s="11">
        <f>C20/100*0.2</f>
        <v>0</v>
      </c>
      <c r="F20" s="11">
        <f>C20/100*0.1</f>
        <v>0</v>
      </c>
      <c r="G20" s="11">
        <f>C20/100*14.6</f>
        <v>0</v>
      </c>
      <c r="H20" s="70">
        <f t="shared" ref="H20" si="6">C20/100*0</f>
        <v>0</v>
      </c>
      <c r="I20" s="70">
        <f>C20/100*0.3</f>
        <v>0</v>
      </c>
      <c r="J20" s="70">
        <f>C20/100*1.2</f>
        <v>0</v>
      </c>
      <c r="K20" s="70">
        <f>C20/100*1.5</f>
        <v>0</v>
      </c>
      <c r="L20" s="11">
        <f t="shared" ref="L20" si="7">C20/100*0</f>
        <v>0</v>
      </c>
      <c r="M20" s="3">
        <v>2</v>
      </c>
    </row>
    <row r="21" spans="1:13">
      <c r="A21" s="72"/>
      <c r="B21" s="81" t="s">
        <v>1230</v>
      </c>
      <c r="C21" s="4"/>
      <c r="D21" s="5">
        <f>C21/100*69</f>
        <v>0</v>
      </c>
      <c r="E21" s="11">
        <f>C21/100*10.4</f>
        <v>0</v>
      </c>
      <c r="F21" s="11">
        <f>C21/100*1.3</f>
        <v>0</v>
      </c>
      <c r="G21" s="11">
        <f>C21/100*3.9</f>
        <v>0</v>
      </c>
      <c r="H21" s="70">
        <f>C21/100*92</f>
        <v>0</v>
      </c>
      <c r="I21" s="70"/>
      <c r="J21" s="70"/>
      <c r="K21" s="70"/>
      <c r="L21" s="11">
        <f>C21/100*0.8897423</f>
        <v>0</v>
      </c>
      <c r="M21" s="19">
        <v>3</v>
      </c>
    </row>
    <row r="22" spans="1:13">
      <c r="A22" s="72"/>
      <c r="B22" s="103" t="s">
        <v>97</v>
      </c>
      <c r="C22" s="4"/>
      <c r="D22" s="5">
        <f>C22/100*87</f>
        <v>0</v>
      </c>
      <c r="E22" s="11">
        <f>C22/100*19.8</f>
        <v>0</v>
      </c>
      <c r="F22" s="11">
        <f>C22/100*0.3</f>
        <v>0</v>
      </c>
      <c r="G22" s="11">
        <f>C22/100*0.1</f>
        <v>0</v>
      </c>
      <c r="H22" s="70">
        <f>C22/100*130</f>
        <v>0</v>
      </c>
      <c r="I22" s="70"/>
      <c r="J22" s="70"/>
      <c r="K22" s="70"/>
      <c r="L22" s="70">
        <f>C22/100*0.8</f>
        <v>0</v>
      </c>
      <c r="M22" s="3">
        <v>3</v>
      </c>
    </row>
    <row r="23" spans="1:13">
      <c r="A23" s="72"/>
      <c r="B23" s="103" t="s">
        <v>360</v>
      </c>
      <c r="C23" s="4"/>
      <c r="D23" s="5">
        <f>C23/100*76</f>
        <v>0</v>
      </c>
      <c r="E23" s="11">
        <f>C23/100*1.6</f>
        <v>0</v>
      </c>
      <c r="F23" s="11">
        <f>C23/100*0.1</f>
        <v>0</v>
      </c>
      <c r="G23" s="11">
        <f>C23/100*17.6</f>
        <v>0</v>
      </c>
      <c r="H23" s="70">
        <f t="shared" ref="H23" si="8">C23/100*0</f>
        <v>0</v>
      </c>
      <c r="I23" s="70">
        <f>C23/100*0.6</f>
        <v>0</v>
      </c>
      <c r="J23" s="70">
        <f>C23/100*0.7</f>
        <v>0</v>
      </c>
      <c r="K23" s="70">
        <f>C23/100*1.3</f>
        <v>0</v>
      </c>
      <c r="L23" s="70">
        <f>C23/100*0</f>
        <v>0</v>
      </c>
      <c r="M23" s="3">
        <v>1</v>
      </c>
    </row>
    <row r="24" spans="1:13">
      <c r="A24" s="72"/>
      <c r="B24" s="81" t="s">
        <v>265</v>
      </c>
      <c r="C24" s="4"/>
      <c r="D24" s="5">
        <f>C24/100*14</f>
        <v>0</v>
      </c>
      <c r="E24" s="11">
        <f>C24/100*1.5</f>
        <v>0</v>
      </c>
      <c r="F24" s="11">
        <f>C24/100*0.2</f>
        <v>0</v>
      </c>
      <c r="G24" s="11">
        <f>C24/100*2.4</f>
        <v>0</v>
      </c>
      <c r="H24" s="70">
        <f t="shared" ref="H24:H25" si="9">C24/100*0</f>
        <v>0</v>
      </c>
      <c r="I24" s="70">
        <f>C24/100*0.4</f>
        <v>0</v>
      </c>
      <c r="J24" s="70">
        <f>C24/100*1.5</f>
        <v>0</v>
      </c>
      <c r="K24" s="70">
        <f>C24/100*1.9</f>
        <v>0</v>
      </c>
      <c r="L24" s="70">
        <f>C24/100*0</f>
        <v>0</v>
      </c>
      <c r="M24" s="3">
        <v>6</v>
      </c>
    </row>
    <row r="25" spans="1:13">
      <c r="A25" s="72"/>
      <c r="B25" s="103" t="s">
        <v>589</v>
      </c>
      <c r="C25" s="4"/>
      <c r="D25" s="5">
        <f>C25/100*18</f>
        <v>0</v>
      </c>
      <c r="E25" s="11">
        <f>C25/100*2.7</f>
        <v>0</v>
      </c>
      <c r="F25" s="11">
        <f>C25/100*0.6</f>
        <v>0</v>
      </c>
      <c r="G25" s="11">
        <f>C25/100*5</f>
        <v>0</v>
      </c>
      <c r="H25" s="70">
        <f t="shared" si="9"/>
        <v>0</v>
      </c>
      <c r="I25" s="70">
        <f>C25/100*0.3</f>
        <v>0</v>
      </c>
      <c r="J25" s="70">
        <f>C25/100*3.4</f>
        <v>0</v>
      </c>
      <c r="K25" s="70">
        <f>C25/100*3.7</f>
        <v>0</v>
      </c>
      <c r="L25" s="70">
        <f>C25/100*0</f>
        <v>0</v>
      </c>
      <c r="M25" s="3">
        <v>6</v>
      </c>
    </row>
    <row r="26" spans="1:13">
      <c r="A26" s="72"/>
      <c r="B26" s="104" t="s">
        <v>1059</v>
      </c>
      <c r="C26" s="4"/>
      <c r="D26" s="5">
        <f>C26/100*41/0.13</f>
        <v>0</v>
      </c>
      <c r="E26" s="11">
        <f>C26/100*8.4/0.13</f>
        <v>0</v>
      </c>
      <c r="F26" s="11">
        <f>C26/100*0.5/0.13</f>
        <v>0</v>
      </c>
      <c r="G26" s="11">
        <f>C26/100*0.01/0.13</f>
        <v>0</v>
      </c>
      <c r="H26" s="70">
        <f>C26/100*103.6/0.13</f>
        <v>0</v>
      </c>
      <c r="I26" s="70"/>
      <c r="J26" s="70"/>
      <c r="K26" s="70"/>
      <c r="L26" s="11">
        <f>C26/100*0.3965708/0.13</f>
        <v>0</v>
      </c>
      <c r="M26" s="3">
        <v>3</v>
      </c>
    </row>
    <row r="27" spans="1:13">
      <c r="A27" s="72"/>
      <c r="B27" s="81" t="s">
        <v>523</v>
      </c>
      <c r="C27" s="4"/>
      <c r="D27" s="5">
        <f>C27/100*37</f>
        <v>0</v>
      </c>
      <c r="E27" s="11">
        <f>C27/100*0.6</f>
        <v>0</v>
      </c>
      <c r="F27" s="11">
        <f>C27/100*0.1</f>
        <v>0</v>
      </c>
      <c r="G27" s="11">
        <f>C27/100*9.1</f>
        <v>0</v>
      </c>
      <c r="H27" s="70">
        <f t="shared" ref="H27" si="10">C27/100*0</f>
        <v>0</v>
      </c>
      <c r="I27" s="70">
        <f>C27/100*0.7</f>
        <v>0</v>
      </c>
      <c r="J27" s="70">
        <f>C27/100*2</f>
        <v>0</v>
      </c>
      <c r="K27" s="70">
        <f>C27/100*2.7</f>
        <v>0</v>
      </c>
      <c r="L27" s="70">
        <f>C27/100*0.1</f>
        <v>0</v>
      </c>
      <c r="M27" s="3">
        <v>6</v>
      </c>
    </row>
    <row r="28" spans="1:13">
      <c r="A28" s="72"/>
      <c r="B28" s="104" t="s">
        <v>883</v>
      </c>
      <c r="C28" s="4"/>
      <c r="D28" s="5">
        <f>C28/100*14/0.15</f>
        <v>0</v>
      </c>
      <c r="E28" s="11">
        <f>C28/100*1.1/0.15</f>
        <v>0</v>
      </c>
      <c r="F28" s="11">
        <f>C28/100*0/0.15</f>
        <v>0</v>
      </c>
      <c r="G28" s="11">
        <f>C28/100*2.1/0.15</f>
        <v>0</v>
      </c>
      <c r="H28" s="70">
        <f t="shared" ref="H28:H30" si="11">C28/100*0</f>
        <v>0</v>
      </c>
      <c r="I28" s="70"/>
      <c r="J28" s="70"/>
      <c r="K28" s="70"/>
      <c r="L28" s="11">
        <f>C28/100*1.9828543/0.15</f>
        <v>0</v>
      </c>
      <c r="M28" s="19" t="s">
        <v>750</v>
      </c>
    </row>
    <row r="29" spans="1:13">
      <c r="A29" s="72"/>
      <c r="B29" s="82" t="s">
        <v>1231</v>
      </c>
      <c r="C29" s="4"/>
      <c r="D29" s="5">
        <f>C29/100*90/0.175</f>
        <v>0</v>
      </c>
      <c r="E29" s="11">
        <f>C29/100*1/0.175</f>
        <v>0</v>
      </c>
      <c r="F29" s="11">
        <f>C29/100*6.3/0.175</f>
        <v>0</v>
      </c>
      <c r="G29" s="11">
        <f>C29/100*7.2/0.175</f>
        <v>0</v>
      </c>
      <c r="H29" s="70">
        <f>C29/100*0/0.175</f>
        <v>0</v>
      </c>
      <c r="I29" s="70"/>
      <c r="J29" s="70"/>
      <c r="K29" s="70"/>
      <c r="L29" s="11">
        <f>C29/100*2.4150149/0.175</f>
        <v>0</v>
      </c>
      <c r="M29" s="3" t="s">
        <v>747</v>
      </c>
    </row>
    <row r="30" spans="1:13">
      <c r="A30" s="72"/>
      <c r="B30" s="81" t="s">
        <v>205</v>
      </c>
      <c r="C30" s="4"/>
      <c r="D30" s="5">
        <f>C30/100*23</f>
        <v>0</v>
      </c>
      <c r="E30" s="11">
        <f>C30/100*1.3</f>
        <v>0</v>
      </c>
      <c r="F30" s="11">
        <f>C30/100*0.2</f>
        <v>0</v>
      </c>
      <c r="G30" s="11">
        <f>C30/100*5.2</f>
        <v>0</v>
      </c>
      <c r="H30" s="70">
        <f t="shared" si="11"/>
        <v>0</v>
      </c>
      <c r="I30" s="70">
        <f>C30/100*0.4</f>
        <v>0</v>
      </c>
      <c r="J30" s="70">
        <f>C30/100*1.4</f>
        <v>0</v>
      </c>
      <c r="K30" s="70">
        <f>C30/100*1.8</f>
        <v>0</v>
      </c>
      <c r="L30" s="70">
        <f>C30/100*0</f>
        <v>0</v>
      </c>
      <c r="M30" s="3">
        <v>6</v>
      </c>
    </row>
    <row r="31" spans="1:13">
      <c r="A31" s="72"/>
      <c r="B31" s="81" t="s">
        <v>52</v>
      </c>
      <c r="C31" s="4"/>
      <c r="D31" s="5">
        <f>C31/100*88</f>
        <v>0</v>
      </c>
      <c r="E31" s="11">
        <f>C31/100*18.1</f>
        <v>0</v>
      </c>
      <c r="F31" s="11">
        <f>C31/100*1.2</f>
        <v>0</v>
      </c>
      <c r="G31" s="11">
        <f>C31/100*0.2</f>
        <v>0</v>
      </c>
      <c r="H31" s="70">
        <f>C31/100*270</f>
        <v>0</v>
      </c>
      <c r="I31" s="70"/>
      <c r="J31" s="70"/>
      <c r="K31" s="70"/>
      <c r="L31" s="70">
        <f>C31/100*0.8</f>
        <v>0</v>
      </c>
      <c r="M31" s="3">
        <v>3</v>
      </c>
    </row>
    <row r="32" spans="1:13">
      <c r="A32" s="72"/>
      <c r="B32" s="103" t="s">
        <v>581</v>
      </c>
      <c r="C32" s="4"/>
      <c r="D32" s="5">
        <f>C32/100*386</f>
        <v>0</v>
      </c>
      <c r="E32" s="11">
        <f>C32/100*14.2</f>
        <v>0</v>
      </c>
      <c r="F32" s="11">
        <f>C32/100*34.6</f>
        <v>0</v>
      </c>
      <c r="G32" s="11">
        <f>C32/100*0.1</f>
        <v>0</v>
      </c>
      <c r="H32" s="70">
        <f>C32/100*70</f>
        <v>0</v>
      </c>
      <c r="I32" s="70"/>
      <c r="J32" s="70"/>
      <c r="K32" s="70"/>
      <c r="L32" s="70">
        <f>C32/100*0.1</f>
        <v>0</v>
      </c>
      <c r="M32" s="3">
        <v>3</v>
      </c>
    </row>
    <row r="33" spans="1:13">
      <c r="A33" s="72"/>
      <c r="B33" s="81" t="s">
        <v>552</v>
      </c>
      <c r="C33" s="4"/>
      <c r="D33" s="5">
        <f>C33/100*22</f>
        <v>0</v>
      </c>
      <c r="E33" s="11">
        <f>C33/100*0.9</f>
        <v>0</v>
      </c>
      <c r="F33" s="11">
        <f>C33/100*0.2</f>
        <v>0</v>
      </c>
      <c r="G33" s="11">
        <f>C33/100*5.1</f>
        <v>0</v>
      </c>
      <c r="H33" s="11">
        <f t="shared" ref="H33" si="12">C33/100*0</f>
        <v>0</v>
      </c>
      <c r="I33" s="70">
        <f>C33/100*0.6</f>
        <v>0</v>
      </c>
      <c r="J33" s="70">
        <f>C33/100*1.7</f>
        <v>0</v>
      </c>
      <c r="K33" s="70">
        <f>C33/100*2.3</f>
        <v>0</v>
      </c>
      <c r="L33" s="70">
        <f>C33/100*0</f>
        <v>0</v>
      </c>
      <c r="M33" s="19">
        <v>6</v>
      </c>
    </row>
    <row r="34" spans="1:13">
      <c r="A34" s="72"/>
      <c r="B34" s="104" t="s">
        <v>1223</v>
      </c>
      <c r="C34" s="4"/>
      <c r="D34" s="5">
        <f>C34/100*344</f>
        <v>0</v>
      </c>
      <c r="E34" s="11">
        <f>C34/100*10.2</f>
        <v>0</v>
      </c>
      <c r="F34" s="11">
        <f>C34/100*2.8</f>
        <v>0</v>
      </c>
      <c r="G34" s="11">
        <f>C34/100*69.6</f>
        <v>0</v>
      </c>
      <c r="H34" s="70">
        <f t="shared" ref="H34:H38" si="13">C34/100*0</f>
        <v>0</v>
      </c>
      <c r="I34" s="70"/>
      <c r="J34" s="70"/>
      <c r="K34" s="70">
        <f>C34/100*0.2</f>
        <v>0</v>
      </c>
      <c r="L34" s="11">
        <f>C34/100*3.0505452</f>
        <v>0</v>
      </c>
      <c r="M34" s="3">
        <v>1</v>
      </c>
    </row>
    <row r="35" spans="1:13">
      <c r="A35" s="72"/>
      <c r="B35" s="104" t="s">
        <v>99</v>
      </c>
      <c r="C35" s="4"/>
      <c r="D35" s="5">
        <f>C35/100*97</f>
        <v>0</v>
      </c>
      <c r="E35" s="11">
        <f>C35/100*21.6</f>
        <v>0</v>
      </c>
      <c r="F35" s="11">
        <f>C35/100*0.6</f>
        <v>0</v>
      </c>
      <c r="G35" s="11">
        <f>C35/100*0</f>
        <v>0</v>
      </c>
      <c r="H35" s="11">
        <f>C35/100*170</f>
        <v>0</v>
      </c>
      <c r="I35" s="70"/>
      <c r="J35" s="70"/>
      <c r="K35" s="70"/>
      <c r="L35" s="70">
        <f>C35/100*0.4</f>
        <v>0</v>
      </c>
      <c r="M35" s="3">
        <v>3</v>
      </c>
    </row>
    <row r="36" spans="1:13">
      <c r="A36" s="72"/>
      <c r="B36" s="81" t="s">
        <v>527</v>
      </c>
      <c r="C36" s="4"/>
      <c r="D36" s="5">
        <f>C36/100*28</f>
        <v>0</v>
      </c>
      <c r="E36" s="11">
        <f>C36/100*6.5</f>
        <v>0</v>
      </c>
      <c r="F36" s="11">
        <f>C36/100*0.1</f>
        <v>0</v>
      </c>
      <c r="G36" s="11">
        <f>C36/100*7.2</f>
        <v>0</v>
      </c>
      <c r="H36" s="70">
        <f t="shared" si="13"/>
        <v>0</v>
      </c>
      <c r="I36" s="70">
        <f>C36/100*0.2</f>
        <v>0</v>
      </c>
      <c r="J36" s="70">
        <f>C36/100*2</f>
        <v>0</v>
      </c>
      <c r="K36" s="70">
        <f>C36/100*2.2</f>
        <v>0</v>
      </c>
      <c r="L36" s="70">
        <f>C36/100*0</f>
        <v>0</v>
      </c>
      <c r="M36" s="3">
        <v>6</v>
      </c>
    </row>
    <row r="37" spans="1:13">
      <c r="A37" s="72"/>
      <c r="B37" s="104" t="s">
        <v>504</v>
      </c>
      <c r="C37" s="4"/>
      <c r="D37" s="5">
        <f>C37/100*22</f>
        <v>0</v>
      </c>
      <c r="E37" s="11">
        <f>C37/100*1.1</f>
        <v>0</v>
      </c>
      <c r="F37" s="11">
        <f>C37/100*0.1</f>
        <v>0</v>
      </c>
      <c r="G37" s="11">
        <f>C37/100*5.1</f>
        <v>0</v>
      </c>
      <c r="H37" s="70">
        <f t="shared" si="13"/>
        <v>0</v>
      </c>
      <c r="I37" s="70">
        <f>C37/100*0.3</f>
        <v>0</v>
      </c>
      <c r="J37" s="70">
        <f>C37/100*1.9</f>
        <v>0</v>
      </c>
      <c r="K37" s="70">
        <f>C37/100*2.2</f>
        <v>0</v>
      </c>
      <c r="L37" s="70">
        <f>C37/100*0</f>
        <v>0</v>
      </c>
      <c r="M37" s="3">
        <v>6</v>
      </c>
    </row>
    <row r="38" spans="1:13">
      <c r="A38" s="72"/>
      <c r="B38" s="104" t="s">
        <v>1068</v>
      </c>
      <c r="C38" s="4"/>
      <c r="D38" s="5">
        <f>C38/100*87</f>
        <v>0</v>
      </c>
      <c r="E38" s="11">
        <f>C38/100*8.1</f>
        <v>0</v>
      </c>
      <c r="F38" s="11">
        <f>C38/100*5.4</f>
        <v>0</v>
      </c>
      <c r="G38" s="11">
        <f>C38/100*1.6</f>
        <v>0</v>
      </c>
      <c r="H38" s="70">
        <f t="shared" si="13"/>
        <v>0</v>
      </c>
      <c r="I38" s="70"/>
      <c r="J38" s="70"/>
      <c r="K38" s="70">
        <f>C38/100*0.2</f>
        <v>0</v>
      </c>
      <c r="L38" s="11">
        <f t="shared" ref="L38" si="14">C38/100*0</f>
        <v>0</v>
      </c>
      <c r="M38" s="3">
        <v>3</v>
      </c>
    </row>
    <row r="39" spans="1:13">
      <c r="A39" s="72"/>
      <c r="B39" s="81" t="s">
        <v>448</v>
      </c>
      <c r="C39" s="4"/>
      <c r="D39" s="5">
        <f>C39/100*151</f>
        <v>0</v>
      </c>
      <c r="E39" s="11">
        <f>C39/100*12.3</f>
        <v>0</v>
      </c>
      <c r="F39" s="11">
        <f>C39/100*10.3</f>
        <v>0</v>
      </c>
      <c r="G39" s="11">
        <f>C39/100*0.3</f>
        <v>0</v>
      </c>
      <c r="H39" s="70">
        <f>C39/100*420</f>
        <v>0</v>
      </c>
      <c r="I39" s="70"/>
      <c r="J39" s="70"/>
      <c r="K39" s="70"/>
      <c r="L39" s="70">
        <f>C39/100*0.4</f>
        <v>0</v>
      </c>
      <c r="M39" s="3">
        <v>3</v>
      </c>
    </row>
    <row r="40" spans="1:13">
      <c r="A40" s="72"/>
      <c r="B40" s="104" t="s">
        <v>999</v>
      </c>
      <c r="C40" s="4"/>
      <c r="D40" s="5">
        <f>C40/100*140</f>
        <v>0</v>
      </c>
      <c r="E40" s="11">
        <f>C40/100*4.6</f>
        <v>0</v>
      </c>
      <c r="F40" s="11">
        <f>C40/100*0</f>
        <v>0</v>
      </c>
      <c r="G40" s="11">
        <f>C40/100*27.6</f>
        <v>0</v>
      </c>
      <c r="H40" s="70">
        <f t="shared" ref="H40:H41" si="15">C40/100*0</f>
        <v>0</v>
      </c>
      <c r="I40" s="70"/>
      <c r="J40" s="70"/>
      <c r="K40" s="70"/>
      <c r="L40" s="11">
        <f>C40/100*11.185332</f>
        <v>0</v>
      </c>
      <c r="M40" s="19" t="s">
        <v>750</v>
      </c>
    </row>
    <row r="41" spans="1:13">
      <c r="A41" s="72"/>
      <c r="B41" s="103" t="s">
        <v>366</v>
      </c>
      <c r="C41" s="4"/>
      <c r="D41" s="5">
        <f>C41/100*384</f>
        <v>0</v>
      </c>
      <c r="E41" s="11">
        <f>C41/100*0</f>
        <v>0</v>
      </c>
      <c r="F41" s="11">
        <f>C41/100*0</f>
        <v>0</v>
      </c>
      <c r="G41" s="11">
        <f>C41/100*99.2</f>
        <v>0</v>
      </c>
      <c r="H41" s="70">
        <f t="shared" si="15"/>
        <v>0</v>
      </c>
      <c r="I41" s="70"/>
      <c r="J41" s="70"/>
      <c r="K41" s="70">
        <f>C41/100*0</f>
        <v>0</v>
      </c>
      <c r="L41" s="70">
        <f>C41/100*0.0025421</f>
        <v>0</v>
      </c>
      <c r="M41" s="19" t="s">
        <v>750</v>
      </c>
    </row>
    <row r="42" spans="1:13">
      <c r="A42" s="72"/>
      <c r="B42" s="92"/>
      <c r="C42" s="74"/>
      <c r="D42" s="75"/>
      <c r="E42" s="75"/>
      <c r="F42" s="75"/>
      <c r="G42" s="75"/>
      <c r="H42" s="73"/>
      <c r="I42" s="128"/>
      <c r="J42" s="128"/>
      <c r="K42" s="128"/>
      <c r="L42" s="73"/>
      <c r="M42" s="15"/>
    </row>
    <row r="43" spans="1:13">
      <c r="A43" s="72"/>
      <c r="B43" s="92"/>
      <c r="C43" s="74"/>
      <c r="D43" s="75"/>
      <c r="E43" s="75"/>
      <c r="F43" s="75"/>
      <c r="G43" s="75"/>
      <c r="H43" s="73"/>
      <c r="I43" s="128"/>
      <c r="J43" s="128"/>
      <c r="K43" s="128"/>
      <c r="L43" s="73"/>
      <c r="M43" s="15"/>
    </row>
    <row r="44" spans="1:13" ht="14.25" thickBot="1">
      <c r="A44" s="72"/>
      <c r="B44" s="93"/>
      <c r="C44" s="134"/>
      <c r="D44" s="135"/>
      <c r="E44" s="135"/>
      <c r="F44" s="135"/>
      <c r="G44" s="135"/>
      <c r="H44" s="137"/>
      <c r="I44" s="136"/>
      <c r="J44" s="136"/>
      <c r="K44" s="136"/>
      <c r="L44" s="137"/>
      <c r="M44" s="91"/>
    </row>
    <row r="45" spans="1:13">
      <c r="A45" s="72"/>
      <c r="B45" s="140" t="s">
        <v>759</v>
      </c>
      <c r="C45" s="141">
        <f>C10</f>
        <v>20</v>
      </c>
      <c r="D45" s="138">
        <f>SUM(D12:D44)</f>
        <v>4.4000000000000004</v>
      </c>
      <c r="E45" s="138">
        <f t="shared" ref="E45:L45" si="16">SUM(E12:E44)</f>
        <v>0.84000000000000008</v>
      </c>
      <c r="F45" s="138">
        <f t="shared" si="16"/>
        <v>3.0000000000000006E-2</v>
      </c>
      <c r="G45" s="138">
        <f t="shared" si="16"/>
        <v>1.28</v>
      </c>
      <c r="H45" s="176">
        <f t="shared" si="16"/>
        <v>0</v>
      </c>
      <c r="I45" s="138">
        <f t="shared" si="16"/>
        <v>2.0000000000000004E-2</v>
      </c>
      <c r="J45" s="138">
        <f t="shared" si="16"/>
        <v>0.2</v>
      </c>
      <c r="K45" s="138">
        <f t="shared" si="16"/>
        <v>0.58000000000000007</v>
      </c>
      <c r="L45" s="138">
        <f t="shared" si="16"/>
        <v>0.15000000000000002</v>
      </c>
      <c r="M45" s="139"/>
    </row>
    <row r="46" spans="1:13" ht="14.25" thickBot="1">
      <c r="A46" s="72"/>
      <c r="B46" s="142" t="str">
        <f>B10</f>
        <v>味噌汁9/16の具・夕食</v>
      </c>
      <c r="C46" s="143">
        <v>100</v>
      </c>
      <c r="D46" s="144">
        <f>$C46/$C45*D45</f>
        <v>22</v>
      </c>
      <c r="E46" s="144">
        <f t="shared" ref="E46:L46" si="17">$C46/$C45*E45</f>
        <v>4.2</v>
      </c>
      <c r="F46" s="144">
        <f t="shared" si="17"/>
        <v>0.15000000000000002</v>
      </c>
      <c r="G46" s="144">
        <f t="shared" si="17"/>
        <v>6.4</v>
      </c>
      <c r="H46" s="247">
        <f t="shared" si="17"/>
        <v>0</v>
      </c>
      <c r="I46" s="144">
        <f t="shared" si="17"/>
        <v>0.10000000000000002</v>
      </c>
      <c r="J46" s="144">
        <f t="shared" si="17"/>
        <v>1</v>
      </c>
      <c r="K46" s="144">
        <f t="shared" si="17"/>
        <v>2.9000000000000004</v>
      </c>
      <c r="L46" s="144">
        <f t="shared" si="17"/>
        <v>0.75000000000000011</v>
      </c>
      <c r="M46" s="144"/>
    </row>
    <row r="47" spans="1:13">
      <c r="A47" s="72"/>
      <c r="B47" s="112"/>
      <c r="C47" s="78"/>
      <c r="D47" s="76"/>
      <c r="E47" s="76"/>
      <c r="F47" s="76"/>
      <c r="G47" s="76"/>
      <c r="H47" s="76"/>
      <c r="I47" s="129"/>
      <c r="J47" s="129"/>
      <c r="K47" s="129"/>
      <c r="L47" s="119"/>
      <c r="M47" s="71"/>
    </row>
    <row r="48" spans="1:13">
      <c r="A48" s="72"/>
      <c r="B48" s="77"/>
      <c r="C48" s="78"/>
      <c r="D48" s="76"/>
      <c r="E48" s="76"/>
      <c r="F48" s="76"/>
      <c r="G48" s="76"/>
      <c r="H48" s="76"/>
      <c r="I48" s="129"/>
      <c r="J48" s="129"/>
      <c r="K48" s="129"/>
      <c r="L48" s="119"/>
      <c r="M48" s="71"/>
    </row>
    <row r="49" spans="5:13">
      <c r="E49" s="14"/>
      <c r="F49" s="14"/>
      <c r="G49" s="14"/>
      <c r="H49" s="14"/>
      <c r="I49" s="14"/>
      <c r="J49" s="14"/>
      <c r="K49" s="14"/>
      <c r="L49" s="14"/>
      <c r="M49" s="88"/>
    </row>
    <row r="50" spans="5:13">
      <c r="E50" s="14"/>
      <c r="F50" s="14"/>
      <c r="G50" s="14"/>
      <c r="H50" s="14"/>
      <c r="I50" s="14"/>
      <c r="J50" s="14"/>
      <c r="K50" s="14"/>
      <c r="L50" s="14"/>
      <c r="M50" s="88"/>
    </row>
    <row r="51" spans="5:13">
      <c r="E51" s="14"/>
      <c r="F51" s="14"/>
      <c r="G51" s="14"/>
      <c r="H51" s="14"/>
      <c r="I51" s="14"/>
      <c r="J51" s="14"/>
      <c r="K51" s="14"/>
      <c r="L51" s="14"/>
      <c r="M51" s="88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朝食</vt:lpstr>
      <vt:lpstr>昼食</vt:lpstr>
      <vt:lpstr>夕食</vt:lpstr>
      <vt:lpstr>粥A</vt:lpstr>
      <vt:lpstr>粥B</vt:lpstr>
      <vt:lpstr>味噌汁A</vt:lpstr>
      <vt:lpstr>味噌汁B</vt:lpstr>
      <vt:lpstr>調理1</vt:lpstr>
      <vt:lpstr>調理2</vt:lpstr>
      <vt:lpstr>調理3</vt:lpstr>
      <vt:lpstr>調理4</vt:lpstr>
      <vt:lpstr>調理5</vt:lpstr>
      <vt:lpstr>調理6</vt:lpstr>
      <vt:lpstr>調理7</vt:lpstr>
      <vt:lpstr>調理8</vt:lpstr>
      <vt:lpstr>調理9</vt:lpstr>
      <vt:lpstr>調理10</vt:lpstr>
      <vt:lpstr>成分表</vt:lpstr>
      <vt:lpstr>集計1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2017-04-12T01:20:29Z</dcterms:modified>
</cp:coreProperties>
</file>